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345" windowWidth="11355" windowHeight="5130" activeTab="0"/>
  </bookViews>
  <sheets>
    <sheet name="Presentation" sheetId="1" r:id="rId1"/>
    <sheet name="Parameters" sheetId="2" r:id="rId2"/>
    <sheet name="Scenarios (Qs)" sheetId="3" r:id="rId3"/>
    <sheet name="Total costs" sheetId="4" r:id="rId4"/>
    <sheet name="Population growth " sheetId="5" r:id="rId5"/>
  </sheets>
  <externalReferences>
    <externalReference r:id="rId8"/>
  </externalReferences>
  <definedNames>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dataRange">"I13:I242"</definedName>
    <definedName name="indicatorsoffset">'[1]Table 1'!#REF!</definedName>
  </definedNames>
  <calcPr fullCalcOnLoad="1"/>
</workbook>
</file>

<file path=xl/comments3.xml><?xml version="1.0" encoding="utf-8"?>
<comments xmlns="http://schemas.openxmlformats.org/spreadsheetml/2006/main">
  <authors>
    <author>Un usuario de Microsoft Office satisfecho</author>
  </authors>
  <commentList>
    <comment ref="D14" authorId="0">
      <text>
        <r>
          <rPr>
            <sz val="8"/>
            <rFont val="Tahoma"/>
            <family val="0"/>
          </rPr>
          <t xml:space="preserve">...  Data not available
</t>
        </r>
      </text>
    </comment>
    <comment ref="D23" authorId="0">
      <text>
        <r>
          <rPr>
            <sz val="8"/>
            <rFont val="Tahoma"/>
            <family val="0"/>
          </rPr>
          <t xml:space="preserve">...  Data not available
</t>
        </r>
      </text>
    </comment>
    <comment ref="C14" authorId="0">
      <text>
        <r>
          <rPr>
            <sz val="8"/>
            <rFont val="Tahoma"/>
            <family val="0"/>
          </rPr>
          <t xml:space="preserve">...  Data not available
</t>
        </r>
      </text>
    </comment>
    <comment ref="C23" authorId="0">
      <text>
        <r>
          <rPr>
            <sz val="8"/>
            <rFont val="Tahoma"/>
            <family val="0"/>
          </rPr>
          <t xml:space="preserve">...  Data not available
</t>
        </r>
      </text>
    </comment>
  </commentList>
</comments>
</file>

<file path=xl/sharedStrings.xml><?xml version="1.0" encoding="utf-8"?>
<sst xmlns="http://schemas.openxmlformats.org/spreadsheetml/2006/main" count="622" uniqueCount="111">
  <si>
    <t>...</t>
  </si>
  <si>
    <t>Algeria</t>
  </si>
  <si>
    <t>Bahrain</t>
  </si>
  <si>
    <t>Djibouti</t>
  </si>
  <si>
    <t>Egypt</t>
  </si>
  <si>
    <t>Iraq</t>
  </si>
  <si>
    <t>Jordan</t>
  </si>
  <si>
    <t>Kuwait</t>
  </si>
  <si>
    <t>Lebanon</t>
  </si>
  <si>
    <t>Libyan Arab Jamahiriya</t>
  </si>
  <si>
    <t>Mauritania</t>
  </si>
  <si>
    <t>Morocco</t>
  </si>
  <si>
    <t>Oman</t>
  </si>
  <si>
    <t>Palestinian Autonomous Territories</t>
  </si>
  <si>
    <t>Qatar</t>
  </si>
  <si>
    <t>Saudi Arabia</t>
  </si>
  <si>
    <t>Sudan</t>
  </si>
  <si>
    <t>Syrian Arab Republic</t>
  </si>
  <si>
    <t>Tunisia</t>
  </si>
  <si>
    <t>United Arab Emirates</t>
  </si>
  <si>
    <t>Yemen</t>
  </si>
  <si>
    <t>Country</t>
  </si>
  <si>
    <t>Variable</t>
  </si>
  <si>
    <t>Year</t>
  </si>
  <si>
    <t>Value</t>
  </si>
  <si>
    <t>Population aged 0-4 (thousands)</t>
  </si>
  <si>
    <t>Occupied Palestinian Territory</t>
  </si>
  <si>
    <t xml:space="preserve">Yemen </t>
  </si>
  <si>
    <t>Source: Population Division of the Department of Economic and Social Affairs of the United Nations Secretariat, World Population Prospects: The 2004 Revision and World Urbanization Prospects: The 2003 Revision, http://esa.un.org/unpp, 15 August 2006; 5:30:47 PM.</t>
  </si>
  <si>
    <t>Total general</t>
  </si>
  <si>
    <t>anual growth</t>
  </si>
  <si>
    <t>2005-10</t>
  </si>
  <si>
    <t>2010-15</t>
  </si>
  <si>
    <t>Source UIS web site</t>
  </si>
  <si>
    <t>…</t>
  </si>
  <si>
    <t xml:space="preserve"> projections by 2010</t>
  </si>
  <si>
    <t xml:space="preserve"> projections by 2015</t>
  </si>
  <si>
    <t>Total number of pupils</t>
  </si>
  <si>
    <t>GER</t>
  </si>
  <si>
    <t>Total Arab States</t>
  </si>
  <si>
    <t>% in private institutions</t>
  </si>
  <si>
    <t xml:space="preserve">Number of programmes per teacher per year </t>
  </si>
  <si>
    <t>Ratio salaries/total cost</t>
  </si>
  <si>
    <t>Group size</t>
  </si>
  <si>
    <t>ECCE salary as % of primary school salary</t>
  </si>
  <si>
    <t>Number of hours of a full time teacher</t>
  </si>
  <si>
    <t>RPD</t>
  </si>
  <si>
    <r>
      <t>GDP per capita US$</t>
    </r>
    <r>
      <rPr>
        <sz val="10"/>
        <rFont val="Arial"/>
        <family val="0"/>
      </rPr>
      <t xml:space="preserve">
2003</t>
    </r>
  </si>
  <si>
    <t>Counselling</t>
  </si>
  <si>
    <t>Salary for ECCE teachers (Times pc GNP)</t>
  </si>
  <si>
    <t xml:space="preserve">Counsellors </t>
  </si>
  <si>
    <t>Unit costs expressed as % of GDP</t>
  </si>
  <si>
    <t>Number of families</t>
  </si>
  <si>
    <t>Unit costs in US$ 2003</t>
  </si>
  <si>
    <t>Population in eligible age</t>
  </si>
  <si>
    <t>adult iliteracy rate</t>
  </si>
  <si>
    <t>Target GER</t>
  </si>
  <si>
    <t>Pupils in private institutions</t>
  </si>
  <si>
    <t>Additional pupils compared with 2004 to be served by any of the two modalities</t>
  </si>
  <si>
    <t>Additional pupils by 2010</t>
  </si>
  <si>
    <t>Additional pupils by 2015</t>
  </si>
  <si>
    <t>Additional cost RPD</t>
  </si>
  <si>
    <t>GER targets</t>
  </si>
  <si>
    <t>Step 1</t>
  </si>
  <si>
    <t>Step 2</t>
  </si>
  <si>
    <t>bad nutrition</t>
  </si>
  <si>
    <t>Core Cost Parameters</t>
  </si>
  <si>
    <t>2004 base line year</t>
  </si>
  <si>
    <t>Number of groups of families attended per counsellor</t>
  </si>
  <si>
    <t>Low income countries</t>
  </si>
  <si>
    <t>Low and lower middle income countries</t>
  </si>
  <si>
    <t>-</t>
  </si>
  <si>
    <t>Average number of children in a familiy (Total Fertility Rate)</t>
  </si>
  <si>
    <t>Salaries (ratio to pcGDP)</t>
  </si>
  <si>
    <t xml:space="preserve">RPD Teachers </t>
  </si>
  <si>
    <t>RPD core cost parameters</t>
  </si>
  <si>
    <t>Salaries ratios to pcGDP by country</t>
  </si>
  <si>
    <t>Total fertility rates by country</t>
  </si>
  <si>
    <t>GER Targets by country</t>
  </si>
  <si>
    <t>Go to see the scenarios</t>
  </si>
  <si>
    <t>Go to see the cost estimates</t>
  </si>
  <si>
    <t>Back to presentation</t>
  </si>
  <si>
    <t>Go to change the main model parameters</t>
  </si>
  <si>
    <t>By clicking the links below you will be moved to:</t>
  </si>
  <si>
    <t>Home Visiting</t>
  </si>
  <si>
    <t>Home visiting core cost parameters</t>
  </si>
  <si>
    <t>Additional cost  Home Visiting</t>
  </si>
  <si>
    <t>Additional pupils by 2009</t>
  </si>
  <si>
    <t>Additional pupils by 2008</t>
  </si>
  <si>
    <t>Additional pupils by 2007</t>
  </si>
  <si>
    <t>Additional pupils by 2006</t>
  </si>
  <si>
    <t>Additional pupils by 2005</t>
  </si>
  <si>
    <t>Additional pupils by 2011</t>
  </si>
  <si>
    <t>Additional pupils by 2012</t>
  </si>
  <si>
    <t>Additional pupils by 2013</t>
  </si>
  <si>
    <t>Additional pupils by 2014</t>
  </si>
  <si>
    <t xml:space="preserve"> projections by 2005</t>
  </si>
  <si>
    <t xml:space="preserve"> projections by 2006</t>
  </si>
  <si>
    <t xml:space="preserve"> projections by 2007</t>
  </si>
  <si>
    <t xml:space="preserve"> projections by 2008</t>
  </si>
  <si>
    <t xml:space="preserve"> projections by 2009</t>
  </si>
  <si>
    <t>,,,</t>
  </si>
  <si>
    <t xml:space="preserve"> projections by 2011</t>
  </si>
  <si>
    <t xml:space="preserve"> projections by 2012</t>
  </si>
  <si>
    <t xml:space="preserve"> projections by 2013</t>
  </si>
  <si>
    <t xml:space="preserve"> projections by 2014</t>
  </si>
  <si>
    <t>2005-2010</t>
  </si>
  <si>
    <t>2005-2015</t>
  </si>
  <si>
    <t>Accumulated cost for the period</t>
  </si>
  <si>
    <t xml:space="preserve">Annual average additional cost </t>
  </si>
  <si>
    <t>Home visiting</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</si>
</sst>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0"/>
    <numFmt numFmtId="186" formatCode="0.0"/>
    <numFmt numFmtId="187" formatCode="#,##0.0"/>
    <numFmt numFmtId="188" formatCode="0.000%"/>
    <numFmt numFmtId="189" formatCode="_-* #,##0\ &quot;Pts&quot;_-;\-* #,##0\ &quot;Pts&quot;_-;_-* &quot;-&quot;\ &quot;Pts&quot;_-;_-@_-"/>
    <numFmt numFmtId="190" formatCode="_-* #,##0\ _P_t_s_-;\-* #,##0\ _P_t_s_-;_-* &quot;-&quot;\ _P_t_s_-;_-@_-"/>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000000"/>
    <numFmt numFmtId="196" formatCode="0.000000"/>
    <numFmt numFmtId="197" formatCode="0.00000"/>
    <numFmt numFmtId="198" formatCode="0.0000"/>
    <numFmt numFmtId="199" formatCode="0.00000000"/>
    <numFmt numFmtId="200" formatCode="0.0000000000000"/>
    <numFmt numFmtId="201" formatCode="0.000000000000"/>
    <numFmt numFmtId="202" formatCode="0.00000000000"/>
    <numFmt numFmtId="203" formatCode="0.0000000000"/>
    <numFmt numFmtId="204" formatCode="0.000000000"/>
    <numFmt numFmtId="205" formatCode="#,##0.000"/>
    <numFmt numFmtId="206" formatCode="#,##0.0000"/>
  </numFmts>
  <fonts count="19">
    <font>
      <sz val="10"/>
      <name val="Arial"/>
      <family val="0"/>
    </font>
    <font>
      <sz val="8"/>
      <name val="Tahoma"/>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14"/>
      <name val="Arial"/>
      <family val="2"/>
    </font>
    <font>
      <sz val="10"/>
      <color indexed="10"/>
      <name val="Arial"/>
      <family val="0"/>
    </font>
    <font>
      <vertAlign val="superscript"/>
      <sz val="11"/>
      <name val="Arial"/>
      <family val="2"/>
    </font>
    <font>
      <sz val="12"/>
      <name val="Arial"/>
      <family val="0"/>
    </font>
    <font>
      <sz val="9"/>
      <name val="Arial"/>
      <family val="2"/>
    </font>
    <font>
      <sz val="10"/>
      <name val="Times New Roman"/>
      <family val="1"/>
    </font>
    <font>
      <b/>
      <sz val="14"/>
      <name val="Arial"/>
      <family val="2"/>
    </font>
    <font>
      <b/>
      <sz val="11"/>
      <name val="Arial"/>
      <family val="2"/>
    </font>
    <font>
      <sz val="11"/>
      <name val="Arial"/>
      <family val="2"/>
    </font>
    <font>
      <u val="single"/>
      <sz val="11"/>
      <color indexed="12"/>
      <name val="Arial"/>
      <family val="2"/>
    </font>
    <font>
      <sz val="11"/>
      <color indexed="12"/>
      <name val="Arial"/>
      <family val="2"/>
    </font>
    <font>
      <sz val="10"/>
      <color indexed="14"/>
      <name val="Arial"/>
      <family val="0"/>
    </font>
    <font>
      <b/>
      <sz val="8"/>
      <name val="Arial"/>
      <family val="2"/>
    </font>
  </fonts>
  <fills count="2">
    <fill>
      <patternFill/>
    </fill>
    <fill>
      <patternFill patternType="gray125"/>
    </fill>
  </fills>
  <borders count="19">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9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9" fontId="0" fillId="0" borderId="0" applyFont="0" applyFill="0" applyBorder="0" applyAlignment="0" applyProtection="0"/>
    <xf numFmtId="180" fontId="0" fillId="0" borderId="0" applyFont="0" applyFill="0" applyBorder="0" applyAlignment="0" applyProtection="0"/>
    <xf numFmtId="0" fontId="5" fillId="0" borderId="0" applyNumberFormat="0" applyFill="0" applyBorder="0" applyAlignment="0" applyProtection="0"/>
    <xf numFmtId="1" fontId="8"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10">
    <xf numFmtId="0" fontId="0" fillId="0" borderId="0" xfId="0" applyAlignment="1">
      <alignment/>
    </xf>
    <xf numFmtId="0" fontId="0" fillId="0" borderId="1" xfId="0" applyBorder="1" applyAlignment="1">
      <alignment vertical="center" wrapText="1"/>
    </xf>
    <xf numFmtId="0" fontId="0" fillId="0" borderId="1" xfId="0" applyBorder="1" applyAlignment="1">
      <alignment/>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xf>
    <xf numFmtId="0" fontId="0" fillId="0" borderId="2" xfId="0" applyBorder="1" applyAlignment="1">
      <alignment/>
    </xf>
    <xf numFmtId="3" fontId="0" fillId="0" borderId="3" xfId="0" applyNumberFormat="1" applyBorder="1" applyAlignment="1">
      <alignment/>
    </xf>
    <xf numFmtId="3" fontId="0" fillId="0" borderId="0" xfId="0" applyNumberFormat="1" applyBorder="1" applyAlignment="1">
      <alignment/>
    </xf>
    <xf numFmtId="186" fontId="0" fillId="0" borderId="4" xfId="0" applyNumberFormat="1" applyBorder="1" applyAlignment="1">
      <alignment/>
    </xf>
    <xf numFmtId="186" fontId="0" fillId="0" borderId="0" xfId="0" applyNumberFormat="1" applyBorder="1" applyAlignment="1">
      <alignment/>
    </xf>
    <xf numFmtId="187" fontId="0" fillId="0" borderId="0" xfId="0" applyNumberFormat="1" applyBorder="1" applyAlignment="1">
      <alignment/>
    </xf>
    <xf numFmtId="3" fontId="0" fillId="0" borderId="0" xfId="0" applyNumberFormat="1" applyAlignment="1">
      <alignment/>
    </xf>
    <xf numFmtId="186" fontId="0" fillId="0" borderId="0" xfId="0" applyNumberFormat="1" applyAlignment="1">
      <alignment/>
    </xf>
    <xf numFmtId="0" fontId="0" fillId="0" borderId="0" xfId="0" applyAlignment="1">
      <alignment horizontal="center" vertical="center" wrapText="1"/>
    </xf>
    <xf numFmtId="0" fontId="0" fillId="0" borderId="0" xfId="0" applyAlignment="1">
      <alignment vertical="center" wrapText="1"/>
    </xf>
    <xf numFmtId="0" fontId="7" fillId="0" borderId="0" xfId="0" applyFont="1" applyAlignment="1">
      <alignment/>
    </xf>
    <xf numFmtId="0" fontId="0" fillId="0" borderId="0" xfId="0" applyAlignment="1">
      <alignment wrapText="1"/>
    </xf>
    <xf numFmtId="186" fontId="7" fillId="0" borderId="0" xfId="0" applyNumberFormat="1" applyFont="1" applyAlignment="1">
      <alignment/>
    </xf>
    <xf numFmtId="0" fontId="0" fillId="0" borderId="0" xfId="0" applyBorder="1" applyAlignment="1">
      <alignment/>
    </xf>
    <xf numFmtId="0" fontId="0" fillId="0" borderId="0" xfId="0" applyBorder="1" applyAlignment="1">
      <alignment horizontal="center" vertical="center" wrapText="1"/>
    </xf>
    <xf numFmtId="184" fontId="0" fillId="0" borderId="0" xfId="25" applyNumberFormat="1" applyFill="1" applyBorder="1" applyAlignment="1">
      <alignment/>
    </xf>
    <xf numFmtId="0" fontId="0" fillId="0" borderId="0" xfId="0" applyBorder="1" applyAlignment="1">
      <alignment vertical="center" wrapText="1"/>
    </xf>
    <xf numFmtId="3" fontId="0" fillId="0" borderId="0" xfId="0" applyNumberFormat="1" applyFill="1" applyBorder="1" applyAlignment="1">
      <alignment horizontal="right" vertical="top"/>
    </xf>
    <xf numFmtId="1" fontId="0" fillId="0" borderId="0" xfId="0" applyNumberFormat="1" applyFont="1" applyFill="1" applyBorder="1" applyAlignment="1">
      <alignment horizontal="right" vertical="top"/>
    </xf>
    <xf numFmtId="0" fontId="7" fillId="0" borderId="0" xfId="0" applyFont="1" applyBorder="1" applyAlignment="1">
      <alignment/>
    </xf>
    <xf numFmtId="1" fontId="0" fillId="0" borderId="0" xfId="0" applyNumberFormat="1" applyFill="1" applyBorder="1" applyAlignment="1">
      <alignment horizontal="right" vertical="top"/>
    </xf>
    <xf numFmtId="0" fontId="0" fillId="0" borderId="0" xfId="0" applyFill="1" applyBorder="1" applyAlignment="1">
      <alignment horizontal="center" vertical="center" wrapText="1"/>
    </xf>
    <xf numFmtId="188" fontId="0" fillId="0" borderId="0" xfId="25" applyNumberFormat="1" applyBorder="1" applyAlignment="1">
      <alignment/>
    </xf>
    <xf numFmtId="0" fontId="10" fillId="0" borderId="0" xfId="24" applyFont="1" applyFill="1" applyBorder="1" applyAlignment="1">
      <alignment horizontal="center" vertical="center" wrapText="1"/>
      <protection/>
    </xf>
    <xf numFmtId="1" fontId="7" fillId="0" borderId="0" xfId="25" applyNumberFormat="1" applyFont="1" applyFill="1" applyBorder="1" applyAlignment="1">
      <alignment/>
    </xf>
    <xf numFmtId="1" fontId="0" fillId="0" borderId="0" xfId="0" applyNumberFormat="1" applyAlignment="1">
      <alignment/>
    </xf>
    <xf numFmtId="0" fontId="0" fillId="0" borderId="0" xfId="0" applyBorder="1" applyAlignment="1" quotePrefix="1">
      <alignment/>
    </xf>
    <xf numFmtId="3" fontId="0" fillId="0" borderId="0" xfId="0" applyNumberFormat="1" applyAlignment="1">
      <alignment horizontal="right"/>
    </xf>
    <xf numFmtId="0" fontId="0" fillId="0" borderId="5" xfId="0" applyBorder="1" applyAlignment="1">
      <alignment horizontal="center" vertical="center" wrapText="1"/>
    </xf>
    <xf numFmtId="3" fontId="0" fillId="0" borderId="2" xfId="0" applyNumberFormat="1" applyBorder="1" applyAlignment="1">
      <alignment horizontal="right"/>
    </xf>
    <xf numFmtId="3" fontId="0" fillId="0" borderId="1" xfId="0" applyNumberFormat="1" applyBorder="1" applyAlignment="1">
      <alignment horizontal="right"/>
    </xf>
    <xf numFmtId="0" fontId="0" fillId="0" borderId="0" xfId="0" applyNumberFormat="1" applyBorder="1" applyAlignment="1">
      <alignment/>
    </xf>
    <xf numFmtId="184" fontId="0" fillId="0" borderId="0" xfId="25" applyNumberFormat="1" applyBorder="1" applyAlignment="1">
      <alignment/>
    </xf>
    <xf numFmtId="0" fontId="0" fillId="0" borderId="1" xfId="0" applyFill="1" applyBorder="1" applyAlignment="1">
      <alignment horizontal="center" vertical="center" wrapText="1"/>
    </xf>
    <xf numFmtId="0" fontId="0" fillId="0" borderId="6" xfId="0" applyFill="1" applyBorder="1" applyAlignment="1">
      <alignment/>
    </xf>
    <xf numFmtId="0" fontId="11" fillId="0" borderId="7" xfId="0" applyFont="1" applyBorder="1" applyAlignment="1">
      <alignment/>
    </xf>
    <xf numFmtId="0" fontId="11" fillId="0" borderId="8" xfId="0" applyFont="1" applyBorder="1" applyAlignment="1">
      <alignment/>
    </xf>
    <xf numFmtId="3" fontId="0" fillId="0" borderId="1" xfId="0" applyNumberFormat="1" applyBorder="1" applyAlignment="1">
      <alignment/>
    </xf>
    <xf numFmtId="187" fontId="0" fillId="0" borderId="2" xfId="0" applyNumberFormat="1" applyBorder="1" applyAlignment="1">
      <alignment horizontal="right"/>
    </xf>
    <xf numFmtId="187" fontId="0" fillId="0" borderId="1" xfId="0" applyNumberFormat="1" applyBorder="1" applyAlignment="1">
      <alignment horizontal="right"/>
    </xf>
    <xf numFmtId="187" fontId="0" fillId="0" borderId="1" xfId="0" applyNumberFormat="1" applyBorder="1" applyAlignment="1">
      <alignment/>
    </xf>
    <xf numFmtId="3" fontId="0" fillId="0" borderId="0" xfId="0" applyNumberFormat="1" applyFont="1" applyFill="1" applyBorder="1" applyAlignment="1">
      <alignment horizontal="right" vertical="top"/>
    </xf>
    <xf numFmtId="0" fontId="4" fillId="0" borderId="0" xfId="23" applyAlignment="1">
      <alignment/>
    </xf>
    <xf numFmtId="0" fontId="0" fillId="0" borderId="9" xfId="0" applyFill="1" applyBorder="1" applyAlignment="1">
      <alignment vertical="center" wrapText="1"/>
    </xf>
    <xf numFmtId="0" fontId="7" fillId="0" borderId="10" xfId="0" applyFont="1" applyFill="1" applyBorder="1" applyAlignment="1">
      <alignment/>
    </xf>
    <xf numFmtId="9" fontId="7" fillId="0" borderId="10" xfId="25" applyFont="1" applyFill="1" applyBorder="1" applyAlignment="1">
      <alignment/>
    </xf>
    <xf numFmtId="0" fontId="0" fillId="0" borderId="9" xfId="0" applyFill="1" applyBorder="1" applyAlignment="1">
      <alignment wrapText="1"/>
    </xf>
    <xf numFmtId="1" fontId="7" fillId="0" borderId="10" xfId="0" applyNumberFormat="1" applyFont="1" applyFill="1" applyBorder="1" applyAlignment="1">
      <alignment/>
    </xf>
    <xf numFmtId="9" fontId="7" fillId="0" borderId="10" xfId="0" applyNumberFormat="1" applyFont="1" applyFill="1" applyBorder="1" applyAlignment="1">
      <alignment/>
    </xf>
    <xf numFmtId="0" fontId="0" fillId="0" borderId="11" xfId="0" applyFill="1" applyBorder="1" applyAlignment="1">
      <alignment wrapText="1"/>
    </xf>
    <xf numFmtId="0" fontId="7" fillId="0" borderId="12" xfId="0" applyFont="1" applyFill="1" applyBorder="1" applyAlignment="1">
      <alignment/>
    </xf>
    <xf numFmtId="0" fontId="0" fillId="0" borderId="9" xfId="0" applyBorder="1" applyAlignment="1">
      <alignment vertical="center" wrapText="1"/>
    </xf>
    <xf numFmtId="0" fontId="7" fillId="0" borderId="10" xfId="0" applyFont="1" applyBorder="1" applyAlignment="1">
      <alignment/>
    </xf>
    <xf numFmtId="0" fontId="0" fillId="0" borderId="9" xfId="0" applyBorder="1" applyAlignment="1">
      <alignment vertical="center"/>
    </xf>
    <xf numFmtId="0" fontId="7" fillId="0" borderId="10" xfId="0" applyFont="1" applyBorder="1" applyAlignment="1">
      <alignment vertical="center" wrapText="1"/>
    </xf>
    <xf numFmtId="0" fontId="0" fillId="0" borderId="11" xfId="0" applyBorder="1" applyAlignment="1">
      <alignment vertical="center" wrapText="1"/>
    </xf>
    <xf numFmtId="9" fontId="7" fillId="0" borderId="12" xfId="0" applyNumberFormat="1" applyFont="1" applyBorder="1" applyAlignment="1">
      <alignment vertical="center"/>
    </xf>
    <xf numFmtId="3" fontId="0" fillId="0" borderId="0" xfId="0" applyNumberFormat="1" applyBorder="1" applyAlignment="1">
      <alignment horizontal="right"/>
    </xf>
    <xf numFmtId="0" fontId="0" fillId="0" borderId="1" xfId="0" applyFill="1" applyBorder="1" applyAlignment="1">
      <alignment/>
    </xf>
    <xf numFmtId="3" fontId="0" fillId="0" borderId="13" xfId="0" applyNumberFormat="1" applyBorder="1" applyAlignment="1">
      <alignment/>
    </xf>
    <xf numFmtId="186" fontId="0" fillId="0" borderId="13" xfId="0" applyNumberFormat="1" applyBorder="1" applyAlignment="1">
      <alignment/>
    </xf>
    <xf numFmtId="3" fontId="0" fillId="0" borderId="5" xfId="0" applyNumberFormat="1" applyBorder="1" applyAlignment="1">
      <alignment/>
    </xf>
    <xf numFmtId="0" fontId="0" fillId="0" borderId="5" xfId="0" applyBorder="1" applyAlignment="1">
      <alignment/>
    </xf>
    <xf numFmtId="0" fontId="4" fillId="0" borderId="0" xfId="23" applyFont="1" applyAlignment="1">
      <alignment/>
    </xf>
    <xf numFmtId="4" fontId="0" fillId="0" borderId="2" xfId="0" applyNumberFormat="1" applyBorder="1" applyAlignment="1">
      <alignment horizontal="righ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3" fontId="17" fillId="0" borderId="3" xfId="0" applyNumberFormat="1" applyFont="1" applyBorder="1" applyAlignment="1">
      <alignment/>
    </xf>
    <xf numFmtId="186" fontId="17" fillId="0" borderId="4" xfId="0" applyNumberFormat="1" applyFont="1" applyBorder="1" applyAlignment="1">
      <alignment/>
    </xf>
    <xf numFmtId="3" fontId="17" fillId="0" borderId="0" xfId="0" applyNumberFormat="1" applyFont="1" applyBorder="1" applyAlignment="1">
      <alignment/>
    </xf>
    <xf numFmtId="186" fontId="17" fillId="0" borderId="0" xfId="0" applyNumberFormat="1" applyFont="1" applyBorder="1" applyAlignment="1">
      <alignment/>
    </xf>
    <xf numFmtId="3" fontId="17" fillId="0" borderId="13" xfId="0" applyNumberFormat="1" applyFont="1" applyBorder="1" applyAlignment="1">
      <alignment/>
    </xf>
    <xf numFmtId="0" fontId="17" fillId="0" borderId="5" xfId="0" applyFont="1" applyBorder="1" applyAlignment="1">
      <alignment/>
    </xf>
    <xf numFmtId="3" fontId="17" fillId="0" borderId="5" xfId="0" applyNumberFormat="1" applyFont="1" applyBorder="1" applyAlignment="1">
      <alignment/>
    </xf>
    <xf numFmtId="3" fontId="17" fillId="0" borderId="14" xfId="0" applyNumberFormat="1" applyFont="1" applyBorder="1" applyAlignment="1">
      <alignment/>
    </xf>
    <xf numFmtId="3" fontId="17" fillId="0" borderId="4" xfId="0" applyNumberFormat="1" applyFont="1" applyBorder="1" applyAlignment="1">
      <alignment/>
    </xf>
    <xf numFmtId="3" fontId="17" fillId="0" borderId="15" xfId="0" applyNumberFormat="1" applyFont="1" applyBorder="1" applyAlignment="1">
      <alignment/>
    </xf>
    <xf numFmtId="0" fontId="17" fillId="0" borderId="13" xfId="0" applyFont="1" applyBorder="1" applyAlignment="1">
      <alignment/>
    </xf>
    <xf numFmtId="3" fontId="0" fillId="0" borderId="2" xfId="0" applyNumberFormat="1" applyBorder="1" applyAlignment="1">
      <alignment/>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0" fillId="0" borderId="0" xfId="0" applyBorder="1" applyAlignment="1">
      <alignment horizontal="center" vertical="center" wrapText="1"/>
    </xf>
    <xf numFmtId="0" fontId="0" fillId="0" borderId="0" xfId="0" applyFont="1" applyAlignment="1">
      <alignment horizontal="center"/>
    </xf>
    <xf numFmtId="0" fontId="17" fillId="0" borderId="6" xfId="0" applyFont="1" applyBorder="1" applyAlignment="1">
      <alignment horizontal="center"/>
    </xf>
    <xf numFmtId="0" fontId="17" fillId="0" borderId="13" xfId="0" applyFon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3" fillId="0" borderId="6"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0" fontId="17" fillId="0" borderId="5" xfId="0" applyFont="1" applyBorder="1" applyAlignment="1">
      <alignment horizontal="center"/>
    </xf>
    <xf numFmtId="0" fontId="0" fillId="0" borderId="6" xfId="0" applyFont="1" applyBorder="1" applyAlignment="1">
      <alignment horizontal="center"/>
    </xf>
    <xf numFmtId="0" fontId="0" fillId="0" borderId="13" xfId="0" applyFont="1" applyBorder="1" applyAlignment="1">
      <alignment horizontal="center"/>
    </xf>
    <xf numFmtId="0" fontId="0" fillId="0" borderId="5"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8" xfId="0" applyBorder="1" applyAlignment="1">
      <alignment horizontal="center"/>
    </xf>
    <xf numFmtId="0" fontId="0" fillId="0" borderId="0" xfId="0" applyBorder="1" applyAlignment="1">
      <alignment horizontal="center" vertical="center"/>
    </xf>
  </cellXfs>
  <cellStyles count="12">
    <cellStyle name="Normal" xfId="0"/>
    <cellStyle name="Comma" xfId="15"/>
    <cellStyle name="Comma [0]" xfId="16"/>
    <cellStyle name="Comma [0]" xfId="17"/>
    <cellStyle name="Currency" xfId="18"/>
    <cellStyle name="Currency [0]" xfId="19"/>
    <cellStyle name="Currency [0]" xfId="20"/>
    <cellStyle name="Followed Hyperlink" xfId="21"/>
    <cellStyle name="Footnote" xfId="22"/>
    <cellStyle name="Hyperlink" xfId="23"/>
    <cellStyle name="Normal_DRAFT Statistical table for PFC4 as of Nov 21 20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200025</xdr:colOff>
      <xdr:row>23</xdr:row>
      <xdr:rowOff>19050</xdr:rowOff>
    </xdr:to>
    <xdr:sp>
      <xdr:nvSpPr>
        <xdr:cNvPr id="1" name="TextBox 1"/>
        <xdr:cNvSpPr txBox="1">
          <a:spLocks noChangeArrowheads="1"/>
        </xdr:cNvSpPr>
      </xdr:nvSpPr>
      <xdr:spPr>
        <a:xfrm>
          <a:off x="28575" y="28575"/>
          <a:ext cx="9315450" cy="3714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Users' guide</a:t>
          </a:r>
          <a:r>
            <a:rPr lang="en-US" cap="none" sz="1100" b="0" i="0" u="none" baseline="0">
              <a:latin typeface="Arial"/>
              <a:ea typeface="Arial"/>
              <a:cs typeface="Arial"/>
            </a:rPr>
            <a:t>
The estimation model is very simple to use and has been built to allow users to alter the main parameters and observe its impact on the ultimate results 
To do this follow these instructions:
1) To see the parameters click on the link </a:t>
          </a:r>
          <a:r>
            <a:rPr lang="en-US" cap="none" sz="1100" b="0" i="0" u="sng" baseline="0">
              <a:solidFill>
                <a:srgbClr val="0000FF"/>
              </a:solidFill>
              <a:latin typeface="Arial"/>
              <a:ea typeface="Arial"/>
              <a:cs typeface="Arial"/>
            </a:rPr>
            <a:t>‘Go to see the main model parameters' </a:t>
          </a:r>
          <a:r>
            <a:rPr lang="en-US" cap="none" sz="1100" b="0" i="0" u="none" baseline="0">
              <a:solidFill>
                <a:srgbClr val="0000FF"/>
              </a:solidFill>
              <a:latin typeface="Arial"/>
              <a:ea typeface="Arial"/>
              <a:cs typeface="Arial"/>
            </a:rPr>
            <a:t> </a:t>
          </a:r>
          <a:r>
            <a:rPr lang="en-US" cap="none" sz="1100" b="0" i="0" u="none" baseline="0">
              <a:latin typeface="Arial"/>
              <a:ea typeface="Arial"/>
              <a:cs typeface="Arial"/>
            </a:rPr>
            <a:t>below. You can always come back to this page by clicking on </a:t>
          </a:r>
          <a:r>
            <a:rPr lang="en-US" cap="none" sz="1100" b="0" i="0" u="sng" baseline="0">
              <a:solidFill>
                <a:srgbClr val="0000FF"/>
              </a:solidFill>
              <a:latin typeface="Arial"/>
              <a:ea typeface="Arial"/>
              <a:cs typeface="Arial"/>
            </a:rPr>
            <a:t>back to presentation</a:t>
          </a:r>
          <a:r>
            <a:rPr lang="en-US" cap="none" sz="1100" b="0" i="0" u="none" baseline="0">
              <a:latin typeface="Arial"/>
              <a:ea typeface="Arial"/>
              <a:cs typeface="Arial"/>
            </a:rPr>
            <a:t>. 
2)  You will then have the choice of revising all the parameters that are in red by clicking the following headings:
2.1) </a:t>
          </a:r>
          <a:r>
            <a:rPr lang="en-US" cap="none" sz="1100" b="0" i="0" u="sng" baseline="0">
              <a:solidFill>
                <a:srgbClr val="0000FF"/>
              </a:solidFill>
              <a:latin typeface="Arial"/>
              <a:ea typeface="Arial"/>
              <a:cs typeface="Arial"/>
            </a:rPr>
            <a:t>RPD core cost parameters</a:t>
          </a:r>
          <a:r>
            <a:rPr lang="en-US" cap="none" sz="1100" b="0" i="0" u="none" baseline="0">
              <a:latin typeface="Arial"/>
              <a:ea typeface="Arial"/>
              <a:cs typeface="Arial"/>
            </a:rPr>
            <a:t>
2.2)</a:t>
          </a:r>
          <a:r>
            <a:rPr lang="en-US" cap="none" sz="1100" b="0" i="0" u="sng" baseline="0">
              <a:solidFill>
                <a:srgbClr val="0000FF"/>
              </a:solidFill>
              <a:latin typeface="Arial"/>
              <a:ea typeface="Arial"/>
              <a:cs typeface="Arial"/>
            </a:rPr>
            <a:t>Home visiting core cost parameters</a:t>
          </a:r>
          <a:r>
            <a:rPr lang="en-US" cap="none" sz="1100" b="0" i="0" u="none" baseline="0">
              <a:latin typeface="Arial"/>
              <a:ea typeface="Arial"/>
              <a:cs typeface="Arial"/>
            </a:rPr>
            <a:t>
2.3) </a:t>
          </a:r>
          <a:r>
            <a:rPr lang="en-US" cap="none" sz="1100" b="0" i="0" u="sng" baseline="0">
              <a:solidFill>
                <a:srgbClr val="0000FF"/>
              </a:solidFill>
              <a:latin typeface="Arial"/>
              <a:ea typeface="Arial"/>
              <a:cs typeface="Arial"/>
            </a:rPr>
            <a:t>Salaries ratios to pcGDP by country</a:t>
          </a:r>
          <a:r>
            <a:rPr lang="en-US" cap="none" sz="1100" b="0" i="0" u="none" baseline="0">
              <a:latin typeface="Arial"/>
              <a:ea typeface="Arial"/>
              <a:cs typeface="Arial"/>
            </a:rPr>
            <a:t>
2.4) </a:t>
          </a:r>
          <a:r>
            <a:rPr lang="en-US" cap="none" sz="1100" b="0" i="0" u="sng" baseline="0">
              <a:solidFill>
                <a:srgbClr val="0000FF"/>
              </a:solidFill>
              <a:latin typeface="Arial"/>
              <a:ea typeface="Arial"/>
              <a:cs typeface="Arial"/>
            </a:rPr>
            <a:t>Total fertility rates by country</a:t>
          </a:r>
          <a:r>
            <a:rPr lang="en-US" cap="none" sz="1100" b="0" i="0" u="none" baseline="0">
              <a:latin typeface="Arial"/>
              <a:ea typeface="Arial"/>
              <a:cs typeface="Arial"/>
            </a:rPr>
            <a:t>
2.5) </a:t>
          </a:r>
          <a:r>
            <a:rPr lang="en-US" cap="none" sz="1100" b="0" i="0" u="sng" baseline="0">
              <a:solidFill>
                <a:srgbClr val="0000FF"/>
              </a:solidFill>
              <a:latin typeface="Arial"/>
              <a:ea typeface="Arial"/>
              <a:cs typeface="Arial"/>
            </a:rPr>
            <a:t>GER Targets by country</a:t>
          </a:r>
          <a:r>
            <a:rPr lang="en-US" cap="none" sz="1100" b="0" i="0" u="none" baseline="0">
              <a:latin typeface="Arial"/>
              <a:ea typeface="Arial"/>
              <a:cs typeface="Arial"/>
            </a:rPr>
            <a:t>
3) All figures in red can be altered by typing the desired value (it is not necessary to first delete the old value)
4) These changes will have an immediate impact on the results 
5) Note that not all black figures will necessarily be influenced. E.g. changes made in the red figures on the left side of the screen (these concern parameters for the unit costs) do not affect numbers of children to be served.
6) To see how the results change in terms of number of children click on </a:t>
          </a:r>
          <a:r>
            <a:rPr lang="en-US" cap="none" sz="1100" b="0" i="0" u="sng" baseline="0">
              <a:solidFill>
                <a:srgbClr val="0000FF"/>
              </a:solidFill>
              <a:latin typeface="Arial"/>
              <a:ea typeface="Arial"/>
              <a:cs typeface="Arial"/>
            </a:rPr>
            <a:t>Go to see the scenarios
</a:t>
          </a:r>
          <a:r>
            <a:rPr lang="en-US" cap="none" sz="1100" b="0" i="0" u="none" baseline="0">
              <a:latin typeface="Arial"/>
              <a:ea typeface="Arial"/>
              <a:cs typeface="Arial"/>
            </a:rPr>
            <a:t>7) To see how the results change in terms of cost estimates click on </a:t>
          </a:r>
          <a:r>
            <a:rPr lang="en-US" cap="none" sz="1100" b="0" i="0" u="sng" baseline="0">
              <a:solidFill>
                <a:srgbClr val="0000FF"/>
              </a:solidFill>
              <a:latin typeface="Arial"/>
              <a:ea typeface="Arial"/>
              <a:cs typeface="Arial"/>
            </a:rPr>
            <a:t>Go to see the cost estimates</a:t>
          </a:r>
          <a:r>
            <a:rPr lang="en-US" cap="none" sz="1100" b="0" i="0" u="none" baseline="0">
              <a:latin typeface="Arial"/>
              <a:ea typeface="Arial"/>
              <a:cs typeface="Arial"/>
            </a:rPr>
            <a:t>
8) The last sub-file ´population growth´ is informative and is used to project population over time.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ebruiker\Local%20Settings\Temporary%20Internet%20Files\Content.IE5\MXT6NUXC\HDR2005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HDR05"/>
      <sheetName val="CCclasif"/>
      <sheetName val="Table 1"/>
      <sheetName val="Table 2"/>
      <sheetName val="Table 3"/>
      <sheetName val="Table 4"/>
      <sheetName val="Table 5"/>
      <sheetName val="Table 6"/>
      <sheetName val="Table 7"/>
      <sheetName val="Table 8"/>
      <sheetName val="Table 9"/>
      <sheetName val="Table 10"/>
      <sheetName val="Table 11"/>
      <sheetName val="Table 13"/>
      <sheetName val="Hoja1"/>
      <sheetName val="Table 14"/>
      <sheetName val="Table 15"/>
      <sheetName val="Table 17"/>
      <sheetName val="Table 18"/>
      <sheetName val="Table 19"/>
      <sheetName val="Table 20"/>
      <sheetName val="Table 22"/>
      <sheetName val="Table 25"/>
      <sheetName val="Table 26"/>
      <sheetName val="Table 28"/>
      <sheetName val="Table 29"/>
      <sheetName val="Table 30"/>
      <sheetName val="Table 31"/>
      <sheetName val="Table 32"/>
      <sheetName val="Table 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6:A28"/>
  <sheetViews>
    <sheetView tabSelected="1" workbookViewId="0" topLeftCell="A1">
      <selection activeCell="D26" sqref="D26"/>
    </sheetView>
  </sheetViews>
  <sheetFormatPr defaultColWidth="9.140625" defaultRowHeight="12.75"/>
  <cols>
    <col min="1" max="1" width="34.28125" style="0" customWidth="1"/>
    <col min="2" max="16384" width="11.421875" style="0" customWidth="1"/>
  </cols>
  <sheetData>
    <row r="26" ht="12.75">
      <c r="A26" s="48" t="s">
        <v>82</v>
      </c>
    </row>
    <row r="27" ht="12.75">
      <c r="A27" s="48" t="s">
        <v>79</v>
      </c>
    </row>
    <row r="28" ht="12.75">
      <c r="A28" s="48" t="s">
        <v>80</v>
      </c>
    </row>
  </sheetData>
  <hyperlinks>
    <hyperlink ref="A27" location="'Scenarios (Qs)'!A1" display="Go to see the scenarios"/>
    <hyperlink ref="A26" location="Parameters!A1" display="Go to change the main model parameters"/>
    <hyperlink ref="A28" location="'Total costs'!A1" display="Go to see the cost estimates"/>
  </hyperlink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R42"/>
  <sheetViews>
    <sheetView zoomScale="80" zoomScaleNormal="80" workbookViewId="0" topLeftCell="A1">
      <selection activeCell="A1" sqref="A1"/>
    </sheetView>
  </sheetViews>
  <sheetFormatPr defaultColWidth="9.140625" defaultRowHeight="12.75"/>
  <cols>
    <col min="1" max="1" width="25.00390625" style="0" bestFit="1" customWidth="1"/>
    <col min="2" max="2" width="13.00390625" style="0" customWidth="1"/>
    <col min="3" max="3" width="11.00390625" style="0" bestFit="1" customWidth="1"/>
    <col min="4" max="4" width="27.57421875" style="0" customWidth="1"/>
    <col min="5" max="5" width="21.57421875" style="19" customWidth="1"/>
    <col min="6" max="6" width="16.00390625" style="19" customWidth="1"/>
    <col min="7" max="7" width="11.421875" style="19" customWidth="1"/>
    <col min="8" max="9" width="11.421875" style="0" customWidth="1"/>
    <col min="10" max="10" width="12.7109375" style="0" bestFit="1" customWidth="1"/>
    <col min="11" max="12" width="11.421875" style="0" customWidth="1"/>
    <col min="13" max="13" width="16.7109375" style="0" bestFit="1" customWidth="1"/>
    <col min="14" max="14" width="11.421875" style="0" customWidth="1"/>
    <col min="15" max="15" width="31.57421875" style="0" bestFit="1" customWidth="1"/>
    <col min="16" max="17" width="0" style="0" hidden="1" customWidth="1"/>
    <col min="18" max="16384" width="11.421875" style="0" customWidth="1"/>
  </cols>
  <sheetData>
    <row r="1" spans="1:5" ht="12.75">
      <c r="A1" s="48" t="s">
        <v>81</v>
      </c>
      <c r="D1" s="48" t="s">
        <v>79</v>
      </c>
      <c r="E1" s="48" t="s">
        <v>80</v>
      </c>
    </row>
    <row r="2" ht="12.75">
      <c r="A2" t="s">
        <v>83</v>
      </c>
    </row>
    <row r="3" ht="12.75">
      <c r="A3" s="48" t="s">
        <v>75</v>
      </c>
    </row>
    <row r="4" ht="12.75">
      <c r="A4" s="48" t="s">
        <v>85</v>
      </c>
    </row>
    <row r="5" ht="12.75">
      <c r="A5" s="48" t="s">
        <v>76</v>
      </c>
    </row>
    <row r="6" ht="12.75">
      <c r="A6" s="48" t="s">
        <v>77</v>
      </c>
    </row>
    <row r="7" ht="12.75">
      <c r="A7" s="48" t="s">
        <v>78</v>
      </c>
    </row>
    <row r="10" spans="1:5" ht="18.75" thickBot="1">
      <c r="A10" s="87" t="s">
        <v>66</v>
      </c>
      <c r="B10" s="87"/>
      <c r="C10" s="87"/>
      <c r="D10" s="87"/>
      <c r="E10" s="87"/>
    </row>
    <row r="11" spans="1:5" ht="12.75">
      <c r="A11" s="88" t="s">
        <v>46</v>
      </c>
      <c r="B11" s="89"/>
      <c r="D11" s="90" t="s">
        <v>84</v>
      </c>
      <c r="E11" s="91"/>
    </row>
    <row r="12" spans="1:5" ht="25.5">
      <c r="A12" s="49" t="s">
        <v>45</v>
      </c>
      <c r="B12" s="50">
        <v>1600</v>
      </c>
      <c r="C12" s="16"/>
      <c r="D12" s="57" t="s">
        <v>68</v>
      </c>
      <c r="E12" s="58">
        <v>10</v>
      </c>
    </row>
    <row r="13" spans="1:5" ht="25.5">
      <c r="A13" s="49" t="s">
        <v>49</v>
      </c>
      <c r="B13" s="50">
        <v>3</v>
      </c>
      <c r="C13" s="16"/>
      <c r="D13" s="59" t="s">
        <v>52</v>
      </c>
      <c r="E13" s="60">
        <v>5</v>
      </c>
    </row>
    <row r="14" spans="1:5" ht="48.75" customHeight="1" thickBot="1">
      <c r="A14" s="49" t="s">
        <v>44</v>
      </c>
      <c r="B14" s="51">
        <v>1</v>
      </c>
      <c r="C14" s="16"/>
      <c r="D14" s="61" t="s">
        <v>42</v>
      </c>
      <c r="E14" s="62">
        <v>0.5</v>
      </c>
    </row>
    <row r="15" spans="1:3" ht="25.5">
      <c r="A15" s="52" t="s">
        <v>41</v>
      </c>
      <c r="B15" s="53">
        <v>2</v>
      </c>
      <c r="C15" s="16"/>
    </row>
    <row r="16" spans="1:5" ht="12.75">
      <c r="A16" s="52" t="s">
        <v>42</v>
      </c>
      <c r="B16" s="54">
        <v>0.6</v>
      </c>
      <c r="C16" s="16"/>
      <c r="D16" s="17"/>
      <c r="E16" s="30"/>
    </row>
    <row r="17" spans="1:3" ht="13.5" thickBot="1">
      <c r="A17" s="55" t="s">
        <v>43</v>
      </c>
      <c r="B17" s="56">
        <v>20</v>
      </c>
      <c r="C17" s="16"/>
    </row>
    <row r="18" spans="3:6" ht="12.75">
      <c r="C18" s="16"/>
      <c r="D18" s="22"/>
      <c r="E18" s="21"/>
      <c r="F18" s="28"/>
    </row>
    <row r="19" ht="12.75">
      <c r="C19" s="18"/>
    </row>
    <row r="20" spans="1:14" ht="12.75">
      <c r="A20" s="17"/>
      <c r="B20" s="93" t="s">
        <v>73</v>
      </c>
      <c r="C20" s="93"/>
      <c r="D20" s="92" t="s">
        <v>72</v>
      </c>
      <c r="E20" s="85" t="s">
        <v>51</v>
      </c>
      <c r="F20" s="85"/>
      <c r="H20" s="85" t="s">
        <v>53</v>
      </c>
      <c r="I20" s="85"/>
      <c r="M20" s="86" t="s">
        <v>62</v>
      </c>
      <c r="N20" s="86"/>
    </row>
    <row r="21" spans="1:14" ht="38.25">
      <c r="A21" s="15"/>
      <c r="B21" s="14" t="s">
        <v>74</v>
      </c>
      <c r="C21" s="14" t="s">
        <v>50</v>
      </c>
      <c r="D21" s="92"/>
      <c r="E21" s="20" t="s">
        <v>46</v>
      </c>
      <c r="F21" s="20" t="s">
        <v>48</v>
      </c>
      <c r="G21" s="20" t="s">
        <v>47</v>
      </c>
      <c r="H21" s="20" t="s">
        <v>48</v>
      </c>
      <c r="I21" s="20" t="s">
        <v>46</v>
      </c>
      <c r="J21" s="27" t="s">
        <v>38</v>
      </c>
      <c r="K21" s="27" t="s">
        <v>65</v>
      </c>
      <c r="L21" s="14" t="s">
        <v>55</v>
      </c>
      <c r="M21" s="29" t="s">
        <v>63</v>
      </c>
      <c r="N21" s="14" t="s">
        <v>64</v>
      </c>
    </row>
    <row r="22" spans="1:18" ht="12.75">
      <c r="A22" s="19" t="s">
        <v>1</v>
      </c>
      <c r="B22" s="25">
        <v>3</v>
      </c>
      <c r="C22" s="25">
        <v>4</v>
      </c>
      <c r="D22" s="16">
        <v>2.8</v>
      </c>
      <c r="E22" s="21">
        <f>+(+B22*$B$14)/($B$15*$B$16*$B$17)</f>
        <v>0.125</v>
      </c>
      <c r="F22" s="38">
        <f aca="true" t="shared" si="0" ref="F22:F41">+C22/($E$12*$E$13)*1/$E$14*1/D22</f>
        <v>0.05714285714285715</v>
      </c>
      <c r="G22" s="31">
        <v>2134.538620184951</v>
      </c>
      <c r="H22" s="47">
        <f>+F22*G22</f>
        <v>121.97363543914007</v>
      </c>
      <c r="I22" s="24">
        <f>+G22*E22</f>
        <v>266.8173275231189</v>
      </c>
      <c r="J22" s="13">
        <v>4.719077893213417</v>
      </c>
      <c r="K22" s="31">
        <v>12.333333333333334</v>
      </c>
      <c r="L22">
        <v>30.2</v>
      </c>
      <c r="M22" s="18">
        <f>+J22+K22</f>
        <v>17.052411226546752</v>
      </c>
      <c r="N22" s="18">
        <f>+L22+J22</f>
        <v>34.91907789321342</v>
      </c>
      <c r="O22" s="19" t="s">
        <v>1</v>
      </c>
      <c r="P22">
        <f>+(M22/J22)^(1/6)</f>
        <v>1.238762667473839</v>
      </c>
      <c r="Q22">
        <f>+(N22/M22)^(1/5)</f>
        <v>1.1541317641529565</v>
      </c>
      <c r="R22" s="13"/>
    </row>
    <row r="23" spans="1:18" ht="12.75">
      <c r="A23" s="19" t="s">
        <v>2</v>
      </c>
      <c r="B23" s="25">
        <v>3</v>
      </c>
      <c r="C23" s="25">
        <v>4</v>
      </c>
      <c r="D23" s="16">
        <v>2.7</v>
      </c>
      <c r="E23" s="21">
        <f aca="true" t="shared" si="1" ref="E23:E41">+(+B23*$B$14)/($B$15*$B$16*$B$17)</f>
        <v>0.125</v>
      </c>
      <c r="F23" s="38">
        <f t="shared" si="0"/>
        <v>0.059259259259259255</v>
      </c>
      <c r="G23" s="31">
        <v>13741.297874088703</v>
      </c>
      <c r="H23" s="47">
        <f aca="true" t="shared" si="2" ref="H23:H41">+F23*G23</f>
        <v>814.2991332793305</v>
      </c>
      <c r="I23" s="24">
        <f>+G23*E23</f>
        <v>1717.6622342610879</v>
      </c>
      <c r="J23" s="13">
        <v>44.735846677594246</v>
      </c>
      <c r="K23" s="31">
        <v>8</v>
      </c>
      <c r="L23">
        <v>6.8</v>
      </c>
      <c r="M23" s="18">
        <f>+J23+K23</f>
        <v>52.735846677594246</v>
      </c>
      <c r="N23" s="18">
        <f>+M23</f>
        <v>52.735846677594246</v>
      </c>
      <c r="O23" s="19" t="s">
        <v>2</v>
      </c>
      <c r="P23">
        <f aca="true" t="shared" si="3" ref="P23:P41">+(M23/J23)^(1/6)</f>
        <v>1.0277994405574904</v>
      </c>
      <c r="Q23">
        <f>+(N23/M23)^(1/5)</f>
        <v>1</v>
      </c>
      <c r="R23" s="13"/>
    </row>
    <row r="24" spans="1:18" ht="12.75">
      <c r="A24" s="19" t="s">
        <v>3</v>
      </c>
      <c r="B24" s="25">
        <v>3</v>
      </c>
      <c r="C24" s="25">
        <v>4</v>
      </c>
      <c r="D24" s="16">
        <v>5.7</v>
      </c>
      <c r="E24" s="21">
        <f t="shared" si="1"/>
        <v>0.125</v>
      </c>
      <c r="F24" s="38">
        <f t="shared" si="0"/>
        <v>0.028070175438596492</v>
      </c>
      <c r="G24" s="31">
        <v>817.1251951393629</v>
      </c>
      <c r="H24" s="47">
        <f t="shared" si="2"/>
        <v>22.936847582859308</v>
      </c>
      <c r="I24" s="24">
        <f>+G24*E24</f>
        <v>102.14064939242036</v>
      </c>
      <c r="J24" s="13">
        <v>1.783286150553933</v>
      </c>
      <c r="K24" s="31">
        <v>19</v>
      </c>
      <c r="L24" t="s">
        <v>34</v>
      </c>
      <c r="M24" s="18">
        <f>+J24+K24</f>
        <v>20.783286150553934</v>
      </c>
      <c r="N24" s="18">
        <f>+M24</f>
        <v>20.783286150553934</v>
      </c>
      <c r="O24" s="19" t="s">
        <v>3</v>
      </c>
      <c r="P24">
        <f t="shared" si="3"/>
        <v>1.5057361023245996</v>
      </c>
      <c r="Q24">
        <f>+(N24/M24)^(1/5)</f>
        <v>1</v>
      </c>
      <c r="R24" s="13"/>
    </row>
    <row r="25" spans="1:18" ht="12.75">
      <c r="A25" s="19" t="s">
        <v>4</v>
      </c>
      <c r="B25" s="25">
        <v>3</v>
      </c>
      <c r="C25" s="25">
        <v>4</v>
      </c>
      <c r="D25" s="16">
        <v>3.3</v>
      </c>
      <c r="E25" s="21">
        <f t="shared" si="1"/>
        <v>0.125</v>
      </c>
      <c r="F25" s="38">
        <f t="shared" si="0"/>
        <v>0.04848484848484849</v>
      </c>
      <c r="G25" s="31">
        <v>1163.5569699469884</v>
      </c>
      <c r="H25" s="47">
        <f t="shared" si="2"/>
        <v>56.414883391369145</v>
      </c>
      <c r="I25" s="24">
        <f>+G25*E25</f>
        <v>145.44462124337355</v>
      </c>
      <c r="J25" s="13">
        <v>14.368665350089877</v>
      </c>
      <c r="K25" s="31">
        <v>9.666666666666666</v>
      </c>
      <c r="L25">
        <v>44.4</v>
      </c>
      <c r="M25" s="18">
        <f>+J25+K25</f>
        <v>24.03533201675654</v>
      </c>
      <c r="N25" s="18">
        <f>+L25+J25</f>
        <v>58.768665350089876</v>
      </c>
      <c r="O25" s="19" t="s">
        <v>4</v>
      </c>
      <c r="P25">
        <f t="shared" si="3"/>
        <v>1.08952938865296</v>
      </c>
      <c r="Q25">
        <f>+(N25/M25)^(1/5)</f>
        <v>1.195801628248369</v>
      </c>
      <c r="R25" s="13"/>
    </row>
    <row r="26" spans="1:18" ht="12.75">
      <c r="A26" s="19" t="s">
        <v>5</v>
      </c>
      <c r="B26" s="25">
        <v>3</v>
      </c>
      <c r="C26" s="25">
        <v>4</v>
      </c>
      <c r="D26" s="16">
        <v>4.8</v>
      </c>
      <c r="E26" s="21">
        <f t="shared" si="1"/>
        <v>0.125</v>
      </c>
      <c r="F26" s="38">
        <f t="shared" si="0"/>
        <v>0.03333333333333333</v>
      </c>
      <c r="G26" s="31" t="s">
        <v>34</v>
      </c>
      <c r="H26" s="23" t="s">
        <v>34</v>
      </c>
      <c r="I26" s="26" t="s">
        <v>34</v>
      </c>
      <c r="J26" s="13">
        <v>5.718175886428526</v>
      </c>
      <c r="K26" s="31" t="s">
        <v>34</v>
      </c>
      <c r="L26" t="s">
        <v>34</v>
      </c>
      <c r="M26" s="16" t="s">
        <v>34</v>
      </c>
      <c r="N26" s="16" t="s">
        <v>34</v>
      </c>
      <c r="O26" s="19" t="s">
        <v>5</v>
      </c>
      <c r="P26" t="s">
        <v>101</v>
      </c>
      <c r="R26" s="13"/>
    </row>
    <row r="27" spans="1:18" ht="12.75">
      <c r="A27" s="19" t="s">
        <v>6</v>
      </c>
      <c r="B27" s="25">
        <v>3</v>
      </c>
      <c r="C27" s="25">
        <v>4</v>
      </c>
      <c r="D27" s="16">
        <v>3.6</v>
      </c>
      <c r="E27" s="21">
        <f t="shared" si="1"/>
        <v>0.125</v>
      </c>
      <c r="F27" s="38">
        <f t="shared" si="0"/>
        <v>0.044444444444444446</v>
      </c>
      <c r="G27" s="31">
        <v>1914.131684971161</v>
      </c>
      <c r="H27" s="47">
        <f t="shared" si="2"/>
        <v>85.0725193320516</v>
      </c>
      <c r="I27" s="24">
        <f aca="true" t="shared" si="4" ref="I27:I41">+G27*E27</f>
        <v>239.2664606213951</v>
      </c>
      <c r="J27" s="13">
        <v>29.635795132229397</v>
      </c>
      <c r="K27" s="31">
        <v>14.666666666666666</v>
      </c>
      <c r="L27">
        <v>10.1</v>
      </c>
      <c r="M27" s="18">
        <f>+J27+K27</f>
        <v>44.30246179889606</v>
      </c>
      <c r="N27" s="18">
        <f>+M27</f>
        <v>44.30246179889606</v>
      </c>
      <c r="O27" s="19" t="s">
        <v>6</v>
      </c>
      <c r="P27">
        <f t="shared" si="3"/>
        <v>1.0693056937125727</v>
      </c>
      <c r="Q27">
        <f>+(N27/M27)^(1/5)</f>
        <v>1</v>
      </c>
      <c r="R27" s="13"/>
    </row>
    <row r="28" spans="1:18" ht="12.75">
      <c r="A28" s="19" t="s">
        <v>7</v>
      </c>
      <c r="B28" s="25">
        <v>3</v>
      </c>
      <c r="C28" s="25">
        <v>4</v>
      </c>
      <c r="D28" s="16">
        <v>2.7</v>
      </c>
      <c r="E28" s="21">
        <f t="shared" si="1"/>
        <v>0.125</v>
      </c>
      <c r="F28" s="38">
        <f t="shared" si="0"/>
        <v>0.059259259259259255</v>
      </c>
      <c r="G28" s="31">
        <v>17421.14164604908</v>
      </c>
      <c r="H28" s="47">
        <f t="shared" si="2"/>
        <v>1032.3639493955009</v>
      </c>
      <c r="I28" s="24">
        <f t="shared" si="4"/>
        <v>2177.642705756135</v>
      </c>
      <c r="J28" s="13">
        <v>70.58414623028536</v>
      </c>
      <c r="K28" s="31">
        <v>5</v>
      </c>
      <c r="L28">
        <v>17.1</v>
      </c>
      <c r="M28" s="18">
        <f>+J28+K28</f>
        <v>75.58414623028536</v>
      </c>
      <c r="N28" s="18">
        <f>+L28+J28</f>
        <v>87.68414623028536</v>
      </c>
      <c r="O28" s="19" t="s">
        <v>7</v>
      </c>
      <c r="P28">
        <f t="shared" si="3"/>
        <v>1.01147213825443</v>
      </c>
      <c r="Q28">
        <f>+(N28/M28)^(1/5)</f>
        <v>1.030144322140953</v>
      </c>
      <c r="R28" s="13"/>
    </row>
    <row r="29" spans="1:18" ht="12.75">
      <c r="A29" s="19" t="s">
        <v>8</v>
      </c>
      <c r="B29" s="25">
        <v>3</v>
      </c>
      <c r="C29" s="25">
        <v>4</v>
      </c>
      <c r="D29" s="16">
        <v>2.2</v>
      </c>
      <c r="E29" s="21">
        <f t="shared" si="1"/>
        <v>0.125</v>
      </c>
      <c r="F29" s="38">
        <f t="shared" si="0"/>
        <v>0.07272727272727272</v>
      </c>
      <c r="G29" s="31">
        <v>5677.024330026818</v>
      </c>
      <c r="H29" s="47">
        <f t="shared" si="2"/>
        <v>412.8744967292231</v>
      </c>
      <c r="I29" s="24">
        <f t="shared" si="4"/>
        <v>709.6280412533522</v>
      </c>
      <c r="J29" s="13">
        <v>74.48800185478574</v>
      </c>
      <c r="K29" s="31">
        <v>15</v>
      </c>
      <c r="L29" t="s">
        <v>34</v>
      </c>
      <c r="M29" s="18">
        <f>+J29+K29</f>
        <v>89.48800185478574</v>
      </c>
      <c r="N29" s="18">
        <f>+M29</f>
        <v>89.48800185478574</v>
      </c>
      <c r="O29" s="19" t="s">
        <v>8</v>
      </c>
      <c r="P29">
        <f t="shared" si="3"/>
        <v>1.031050050269592</v>
      </c>
      <c r="Q29">
        <f>+(N29/M29)^(1/5)</f>
        <v>1</v>
      </c>
      <c r="R29" s="13"/>
    </row>
    <row r="30" spans="1:18" ht="12.75">
      <c r="A30" s="19" t="s">
        <v>9</v>
      </c>
      <c r="B30" s="25">
        <v>3</v>
      </c>
      <c r="C30" s="25">
        <v>4</v>
      </c>
      <c r="D30" s="16">
        <v>3</v>
      </c>
      <c r="E30" s="21">
        <f t="shared" si="1"/>
        <v>0.125</v>
      </c>
      <c r="F30" s="38">
        <f t="shared" si="0"/>
        <v>0.05333333333333334</v>
      </c>
      <c r="G30" s="31">
        <v>4168.8550193891515</v>
      </c>
      <c r="H30" s="47">
        <f t="shared" si="2"/>
        <v>222.33893436742142</v>
      </c>
      <c r="I30" s="24">
        <f t="shared" si="4"/>
        <v>521.1068774236439</v>
      </c>
      <c r="J30" s="13" t="s">
        <v>0</v>
      </c>
      <c r="K30" s="31">
        <v>6</v>
      </c>
      <c r="L30">
        <v>18.3</v>
      </c>
      <c r="M30" s="18" t="s">
        <v>34</v>
      </c>
      <c r="N30" s="18" t="s">
        <v>34</v>
      </c>
      <c r="O30" s="19" t="s">
        <v>9</v>
      </c>
      <c r="P30" t="s">
        <v>101</v>
      </c>
      <c r="R30" s="13"/>
    </row>
    <row r="31" spans="1:18" ht="12.75">
      <c r="A31" s="19" t="s">
        <v>10</v>
      </c>
      <c r="B31" s="25">
        <v>3</v>
      </c>
      <c r="C31" s="25">
        <v>4</v>
      </c>
      <c r="D31" s="16">
        <v>5.8</v>
      </c>
      <c r="E31" s="21">
        <f t="shared" si="1"/>
        <v>0.125</v>
      </c>
      <c r="F31" s="38">
        <f t="shared" si="0"/>
        <v>0.027586206896551727</v>
      </c>
      <c r="G31" s="31">
        <v>463.2793828195809</v>
      </c>
      <c r="H31" s="47">
        <f t="shared" si="2"/>
        <v>12.78012090536775</v>
      </c>
      <c r="I31" s="24">
        <f t="shared" si="4"/>
        <v>57.909922852447615</v>
      </c>
      <c r="J31" s="13">
        <v>1.7278641485618256</v>
      </c>
      <c r="K31" s="31">
        <v>7.666666666666667</v>
      </c>
      <c r="L31">
        <v>48.8</v>
      </c>
      <c r="M31" s="18">
        <f aca="true" t="shared" si="5" ref="M31:M38">+J31+K31</f>
        <v>9.394530815228492</v>
      </c>
      <c r="N31" s="18">
        <f>+L31+J31</f>
        <v>50.527864148561825</v>
      </c>
      <c r="O31" s="19" t="s">
        <v>10</v>
      </c>
      <c r="P31">
        <f t="shared" si="3"/>
        <v>1.3260531055154268</v>
      </c>
      <c r="Q31">
        <f aca="true" t="shared" si="6" ref="Q31:Q38">+(N31/M31)^(1/5)</f>
        <v>1.4000101009092367</v>
      </c>
      <c r="R31" s="13"/>
    </row>
    <row r="32" spans="1:18" ht="12.75">
      <c r="A32" s="19" t="s">
        <v>11</v>
      </c>
      <c r="B32" s="25">
        <v>3</v>
      </c>
      <c r="C32" s="25">
        <v>4</v>
      </c>
      <c r="D32" s="16">
        <v>2.7</v>
      </c>
      <c r="E32" s="21">
        <f t="shared" si="1"/>
        <v>0.125</v>
      </c>
      <c r="F32" s="38">
        <f t="shared" si="0"/>
        <v>0.059259259259259255</v>
      </c>
      <c r="G32" s="31">
        <v>1520.5565074465565</v>
      </c>
      <c r="H32" s="47">
        <f t="shared" si="2"/>
        <v>90.10705229312926</v>
      </c>
      <c r="I32" s="24">
        <f t="shared" si="4"/>
        <v>190.06956343081956</v>
      </c>
      <c r="J32" s="13">
        <v>53.44610262249865</v>
      </c>
      <c r="K32" s="31">
        <v>26.666666666666668</v>
      </c>
      <c r="L32">
        <v>49.3</v>
      </c>
      <c r="M32" s="18">
        <f t="shared" si="5"/>
        <v>80.11276928916531</v>
      </c>
      <c r="N32" s="18">
        <f>+M32</f>
        <v>80.11276928916531</v>
      </c>
      <c r="O32" s="19" t="s">
        <v>11</v>
      </c>
      <c r="P32">
        <f t="shared" si="3"/>
        <v>1.0697877417728854</v>
      </c>
      <c r="Q32">
        <f t="shared" si="6"/>
        <v>1</v>
      </c>
      <c r="R32" s="13"/>
    </row>
    <row r="33" spans="1:18" ht="12.75">
      <c r="A33" s="19" t="s">
        <v>12</v>
      </c>
      <c r="B33" s="25">
        <v>3</v>
      </c>
      <c r="C33" s="25">
        <v>4</v>
      </c>
      <c r="D33" s="16">
        <v>5</v>
      </c>
      <c r="E33" s="21">
        <f t="shared" si="1"/>
        <v>0.125</v>
      </c>
      <c r="F33" s="38">
        <f t="shared" si="0"/>
        <v>0.032</v>
      </c>
      <c r="G33" s="31">
        <v>8599.86092204067</v>
      </c>
      <c r="H33" s="47">
        <f t="shared" si="2"/>
        <v>275.19554950530147</v>
      </c>
      <c r="I33" s="24">
        <f t="shared" si="4"/>
        <v>1074.9826152550838</v>
      </c>
      <c r="J33" s="13">
        <v>6.195593946698808</v>
      </c>
      <c r="K33" s="31">
        <v>11.666666666666666</v>
      </c>
      <c r="L33">
        <v>25.6</v>
      </c>
      <c r="M33" s="18">
        <f t="shared" si="5"/>
        <v>17.862260613365475</v>
      </c>
      <c r="N33" s="18">
        <f>+L33+J33</f>
        <v>31.79559394669881</v>
      </c>
      <c r="O33" s="19" t="s">
        <v>12</v>
      </c>
      <c r="P33">
        <f t="shared" si="3"/>
        <v>1.1930049503999098</v>
      </c>
      <c r="Q33">
        <f t="shared" si="6"/>
        <v>1.1222409300383143</v>
      </c>
      <c r="R33" s="13"/>
    </row>
    <row r="34" spans="1:18" ht="12.75">
      <c r="A34" s="19" t="s">
        <v>13</v>
      </c>
      <c r="B34" s="25">
        <v>3</v>
      </c>
      <c r="C34" s="25">
        <v>4</v>
      </c>
      <c r="D34" s="16">
        <v>5.6</v>
      </c>
      <c r="E34" s="21">
        <f t="shared" si="1"/>
        <v>0.125</v>
      </c>
      <c r="F34" s="38">
        <f t="shared" si="0"/>
        <v>0.028571428571428574</v>
      </c>
      <c r="G34" s="23">
        <v>1026</v>
      </c>
      <c r="H34" s="47">
        <f t="shared" si="2"/>
        <v>29.314285714285717</v>
      </c>
      <c r="I34" s="24">
        <f t="shared" si="4"/>
        <v>128.25</v>
      </c>
      <c r="J34" s="13">
        <v>29.896973051215465</v>
      </c>
      <c r="K34" s="31">
        <v>12.333333333333334</v>
      </c>
      <c r="L34">
        <v>8.099999999999994</v>
      </c>
      <c r="M34" s="18">
        <f t="shared" si="5"/>
        <v>42.2303063845488</v>
      </c>
      <c r="N34" s="18">
        <f>+M34</f>
        <v>42.2303063845488</v>
      </c>
      <c r="O34" s="19" t="s">
        <v>13</v>
      </c>
      <c r="P34">
        <f t="shared" si="3"/>
        <v>1.0592525106700514</v>
      </c>
      <c r="Q34">
        <f t="shared" si="6"/>
        <v>1</v>
      </c>
      <c r="R34" s="13"/>
    </row>
    <row r="35" spans="1:18" ht="12.75">
      <c r="A35" s="19" t="s">
        <v>14</v>
      </c>
      <c r="B35" s="25">
        <v>3</v>
      </c>
      <c r="C35" s="25">
        <v>4</v>
      </c>
      <c r="D35" s="16">
        <v>3.2</v>
      </c>
      <c r="E35" s="21">
        <f t="shared" si="1"/>
        <v>0.125</v>
      </c>
      <c r="F35" s="38">
        <f t="shared" si="0"/>
        <v>0.049999999999999996</v>
      </c>
      <c r="G35" s="31">
        <v>27857.432180863758</v>
      </c>
      <c r="H35" s="47">
        <f t="shared" si="2"/>
        <v>1392.8716090431878</v>
      </c>
      <c r="I35" s="24">
        <f t="shared" si="4"/>
        <v>3482.1790226079697</v>
      </c>
      <c r="J35" s="13">
        <v>32.34080026418626</v>
      </c>
      <c r="K35" s="31">
        <v>5.333333333333333</v>
      </c>
      <c r="L35">
        <v>10.8</v>
      </c>
      <c r="M35" s="18">
        <f t="shared" si="5"/>
        <v>37.67413359751959</v>
      </c>
      <c r="N35" s="18">
        <f>+L35+J35</f>
        <v>43.140800264186254</v>
      </c>
      <c r="O35" s="19" t="s">
        <v>14</v>
      </c>
      <c r="P35">
        <f t="shared" si="3"/>
        <v>1.0257670676440738</v>
      </c>
      <c r="Q35">
        <f t="shared" si="6"/>
        <v>1.0274696083857624</v>
      </c>
      <c r="R35" s="13"/>
    </row>
    <row r="36" spans="1:18" ht="12.75">
      <c r="A36" s="19" t="s">
        <v>15</v>
      </c>
      <c r="B36" s="25">
        <v>3</v>
      </c>
      <c r="C36" s="25">
        <v>4</v>
      </c>
      <c r="D36" s="16">
        <v>4.5</v>
      </c>
      <c r="E36" s="21">
        <f t="shared" si="1"/>
        <v>0.125</v>
      </c>
      <c r="F36" s="38">
        <f t="shared" si="0"/>
        <v>0.035555555555555556</v>
      </c>
      <c r="G36" s="31">
        <v>9199.002300470813</v>
      </c>
      <c r="H36" s="47">
        <f t="shared" si="2"/>
        <v>327.07563735007335</v>
      </c>
      <c r="I36" s="24">
        <f t="shared" si="4"/>
        <v>1149.8752875588516</v>
      </c>
      <c r="J36" s="13">
        <v>5.142320668036553</v>
      </c>
      <c r="K36" s="31">
        <v>5.333333333333333</v>
      </c>
      <c r="L36">
        <v>20.6</v>
      </c>
      <c r="M36" s="18">
        <f t="shared" si="5"/>
        <v>10.475654001369886</v>
      </c>
      <c r="N36" s="18">
        <f>+L36+J36</f>
        <v>25.742320668036555</v>
      </c>
      <c r="O36" s="19" t="s">
        <v>15</v>
      </c>
      <c r="P36">
        <f t="shared" si="3"/>
        <v>1.1259099706363722</v>
      </c>
      <c r="Q36">
        <f t="shared" si="6"/>
        <v>1.196997683785843</v>
      </c>
      <c r="R36" s="13"/>
    </row>
    <row r="37" spans="1:18" ht="12.75">
      <c r="A37" s="19" t="s">
        <v>16</v>
      </c>
      <c r="B37" s="25">
        <v>3</v>
      </c>
      <c r="C37" s="25">
        <v>4</v>
      </c>
      <c r="D37" s="16">
        <v>4.4</v>
      </c>
      <c r="E37" s="21">
        <f t="shared" si="1"/>
        <v>0.125</v>
      </c>
      <c r="F37" s="38">
        <f t="shared" si="0"/>
        <v>0.03636363636363636</v>
      </c>
      <c r="G37" s="31">
        <v>510.43413147883564</v>
      </c>
      <c r="H37" s="47">
        <f t="shared" si="2"/>
        <v>18.56124114468493</v>
      </c>
      <c r="I37" s="24">
        <f t="shared" si="4"/>
        <v>63.804266434854455</v>
      </c>
      <c r="J37" s="13">
        <v>23.020703310391628</v>
      </c>
      <c r="K37" s="31">
        <v>15</v>
      </c>
      <c r="L37">
        <v>41</v>
      </c>
      <c r="M37" s="18">
        <f t="shared" si="5"/>
        <v>38.020703310391625</v>
      </c>
      <c r="N37" s="18">
        <f>+L37+J37</f>
        <v>64.02070331039162</v>
      </c>
      <c r="O37" s="19" t="s">
        <v>16</v>
      </c>
      <c r="P37">
        <f t="shared" si="3"/>
        <v>1.0872187321136302</v>
      </c>
      <c r="Q37">
        <f t="shared" si="6"/>
        <v>1.109839196698131</v>
      </c>
      <c r="R37" s="13"/>
    </row>
    <row r="38" spans="1:18" ht="12.75">
      <c r="A38" s="19" t="s">
        <v>17</v>
      </c>
      <c r="B38" s="25">
        <v>3</v>
      </c>
      <c r="C38" s="25">
        <v>4</v>
      </c>
      <c r="D38" s="16">
        <v>3.3</v>
      </c>
      <c r="E38" s="21">
        <f t="shared" si="1"/>
        <v>0.125</v>
      </c>
      <c r="F38" s="38">
        <f t="shared" si="0"/>
        <v>0.04848484848484849</v>
      </c>
      <c r="G38" s="31">
        <v>1175.0750187546887</v>
      </c>
      <c r="H38" s="47">
        <f t="shared" si="2"/>
        <v>56.97333424265158</v>
      </c>
      <c r="I38" s="24">
        <f t="shared" si="4"/>
        <v>146.8843773443361</v>
      </c>
      <c r="J38" s="13">
        <v>10.349471297064742</v>
      </c>
      <c r="K38" s="31">
        <v>33.333333333333336</v>
      </c>
      <c r="L38">
        <v>17.1</v>
      </c>
      <c r="M38" s="18">
        <f t="shared" si="5"/>
        <v>43.68280463039808</v>
      </c>
      <c r="N38" s="18">
        <f>+M38</f>
        <v>43.68280463039808</v>
      </c>
      <c r="O38" s="19" t="s">
        <v>17</v>
      </c>
      <c r="P38">
        <f t="shared" si="3"/>
        <v>1.271253197550656</v>
      </c>
      <c r="Q38">
        <f t="shared" si="6"/>
        <v>1</v>
      </c>
      <c r="R38" s="13"/>
    </row>
    <row r="39" spans="1:18" ht="12.75">
      <c r="A39" s="19" t="s">
        <v>18</v>
      </c>
      <c r="B39" s="25">
        <v>3</v>
      </c>
      <c r="C39" s="25">
        <v>4</v>
      </c>
      <c r="D39" s="16">
        <v>2</v>
      </c>
      <c r="E39" s="21">
        <f t="shared" si="1"/>
        <v>0.125</v>
      </c>
      <c r="F39" s="38">
        <f t="shared" si="0"/>
        <v>0.08</v>
      </c>
      <c r="G39" s="31">
        <v>2540.6542815910893</v>
      </c>
      <c r="H39" s="47">
        <f t="shared" si="2"/>
        <v>203.25234252728714</v>
      </c>
      <c r="I39" s="24">
        <f t="shared" si="4"/>
        <v>317.58178519888617</v>
      </c>
      <c r="J39" s="13" t="s">
        <v>0</v>
      </c>
      <c r="K39" s="31">
        <v>9.666666666666666</v>
      </c>
      <c r="L39">
        <v>25.7</v>
      </c>
      <c r="M39" s="18" t="s">
        <v>34</v>
      </c>
      <c r="N39" s="18" t="s">
        <v>34</v>
      </c>
      <c r="O39" s="19" t="s">
        <v>18</v>
      </c>
      <c r="P39" t="s">
        <v>101</v>
      </c>
      <c r="R39" s="13"/>
    </row>
    <row r="40" spans="1:18" ht="12.75">
      <c r="A40" s="19" t="s">
        <v>19</v>
      </c>
      <c r="B40" s="25">
        <v>3</v>
      </c>
      <c r="C40" s="25">
        <v>4</v>
      </c>
      <c r="D40" s="16">
        <v>2.8</v>
      </c>
      <c r="E40" s="21">
        <f t="shared" si="1"/>
        <v>0.125</v>
      </c>
      <c r="F40" s="38">
        <f t="shared" si="0"/>
        <v>0.05714285714285715</v>
      </c>
      <c r="G40" s="31">
        <v>21909.398663697106</v>
      </c>
      <c r="H40" s="47">
        <f t="shared" si="2"/>
        <v>1251.9656379255491</v>
      </c>
      <c r="I40" s="24">
        <f t="shared" si="4"/>
        <v>2738.674832962138</v>
      </c>
      <c r="J40" s="13">
        <v>63.561911746730225</v>
      </c>
      <c r="K40" s="31">
        <v>6</v>
      </c>
      <c r="L40">
        <v>22.7</v>
      </c>
      <c r="M40" s="18">
        <f>+J40+K40</f>
        <v>69.56191174673023</v>
      </c>
      <c r="N40" s="18">
        <f>+L40+J40</f>
        <v>86.26191174673022</v>
      </c>
      <c r="O40" s="19" t="s">
        <v>19</v>
      </c>
      <c r="P40">
        <f t="shared" si="3"/>
        <v>1.0151473681472345</v>
      </c>
      <c r="Q40">
        <f>+(N40/M40)^(1/5)</f>
        <v>1.043973594181542</v>
      </c>
      <c r="R40" s="13"/>
    </row>
    <row r="41" spans="1:18" ht="12.75">
      <c r="A41" s="19" t="s">
        <v>20</v>
      </c>
      <c r="B41" s="25">
        <v>3</v>
      </c>
      <c r="C41" s="25">
        <v>4</v>
      </c>
      <c r="D41" s="16">
        <v>7</v>
      </c>
      <c r="E41" s="21">
        <f t="shared" si="1"/>
        <v>0.125</v>
      </c>
      <c r="F41" s="38">
        <f t="shared" si="0"/>
        <v>0.022857142857142857</v>
      </c>
      <c r="G41" s="31">
        <v>558.4039930120259</v>
      </c>
      <c r="H41" s="47">
        <f t="shared" si="2"/>
        <v>12.763519840274878</v>
      </c>
      <c r="I41" s="24">
        <f t="shared" si="4"/>
        <v>69.80049912650324</v>
      </c>
      <c r="J41" s="13">
        <v>0.7729921473412736</v>
      </c>
      <c r="K41" s="31">
        <v>15.333333333333334</v>
      </c>
      <c r="L41">
        <v>51</v>
      </c>
      <c r="M41" s="18">
        <f>+J41+K41</f>
        <v>16.106325480674606</v>
      </c>
      <c r="N41" s="18">
        <f>+L41+J41</f>
        <v>51.77299214734127</v>
      </c>
      <c r="O41" s="19" t="s">
        <v>20</v>
      </c>
      <c r="P41">
        <f t="shared" si="3"/>
        <v>1.6588364316882225</v>
      </c>
      <c r="Q41">
        <f>+(N41/M41)^(1/5)</f>
        <v>1.2630523720143858</v>
      </c>
      <c r="R41" s="13"/>
    </row>
    <row r="42" ht="12.75">
      <c r="J42" s="13">
        <v>14.94997617343586</v>
      </c>
    </row>
  </sheetData>
  <mergeCells count="8">
    <mergeCell ref="H20:I20"/>
    <mergeCell ref="M20:N20"/>
    <mergeCell ref="A10:E10"/>
    <mergeCell ref="A11:B11"/>
    <mergeCell ref="D11:E11"/>
    <mergeCell ref="D20:D21"/>
    <mergeCell ref="B20:C20"/>
    <mergeCell ref="E20:F20"/>
  </mergeCells>
  <hyperlinks>
    <hyperlink ref="A4" location="Parameters!D11" display="Home visiting core cost parameters"/>
    <hyperlink ref="A5" location="Parameters!A25" display="Salaries ratios to pcGDP by country"/>
    <hyperlink ref="A6" location="Parameters!D25" display="Total fertility rates by country"/>
    <hyperlink ref="A7" location="Parameters!M25" display="GER Targets by country"/>
    <hyperlink ref="A1" location="Presentation!A1" display="Back to presentation"/>
    <hyperlink ref="D1" location="'Scenarios (Qs)'!A1" display="Go to see the scenarios"/>
    <hyperlink ref="E1" location="'Total costs'!A1" display="Go to see the cost estimates"/>
    <hyperlink ref="A3" location="Parameters!A11" display="RPD core cost parameters"/>
  </hyperlinks>
  <printOptions/>
  <pageMargins left="0.75" right="0.75" top="1" bottom="1" header="0" footer="0"/>
  <pageSetup horizontalDpi="300" verticalDpi="300" orientation="portrait" paperSize="9" r:id="rId1"/>
  <ignoredErrors>
    <ignoredError sqref="N28 N32 N34" formula="1"/>
  </ignoredErrors>
</worksheet>
</file>

<file path=xl/worksheets/sheet3.xml><?xml version="1.0" encoding="utf-8"?>
<worksheet xmlns="http://schemas.openxmlformats.org/spreadsheetml/2006/main" xmlns:r="http://schemas.openxmlformats.org/officeDocument/2006/relationships">
  <dimension ref="A1:BI26"/>
  <sheetViews>
    <sheetView zoomScale="70" zoomScaleNormal="70" workbookViewId="0" topLeftCell="A1">
      <selection activeCell="C2" sqref="C2"/>
    </sheetView>
  </sheetViews>
  <sheetFormatPr defaultColWidth="9.140625" defaultRowHeight="12.75"/>
  <cols>
    <col min="1" max="1" width="36.8515625" style="0" bestFit="1" customWidth="1"/>
    <col min="2" max="2" width="16.421875" style="0" customWidth="1"/>
    <col min="3" max="3" width="12.28125" style="0" customWidth="1"/>
    <col min="4" max="4" width="16.421875" style="0" customWidth="1"/>
    <col min="5" max="5" width="11.7109375" style="0" customWidth="1"/>
    <col min="6" max="6" width="12.7109375" style="0" bestFit="1" customWidth="1"/>
    <col min="7" max="7" width="11.421875" style="0" customWidth="1"/>
    <col min="8" max="9" width="13.00390625" style="0" customWidth="1"/>
    <col min="10" max="10" width="14.8515625" style="0" customWidth="1"/>
    <col min="11" max="11" width="12.7109375" style="0" bestFit="1" customWidth="1"/>
    <col min="12" max="12" width="11.421875" style="0" customWidth="1"/>
    <col min="13" max="14" width="13.00390625" style="0" customWidth="1"/>
    <col min="15" max="15" width="14.8515625" style="0" customWidth="1"/>
    <col min="16" max="16" width="12.7109375" style="0" bestFit="1" customWidth="1"/>
    <col min="17" max="17" width="11.421875" style="0" customWidth="1"/>
    <col min="18" max="19" width="13.00390625" style="0" customWidth="1"/>
    <col min="20" max="20" width="14.8515625" style="0" customWidth="1"/>
    <col min="21" max="21" width="12.7109375" style="0" bestFit="1" customWidth="1"/>
    <col min="22" max="22" width="11.421875" style="0" customWidth="1"/>
    <col min="23" max="24" width="13.00390625" style="0" customWidth="1"/>
    <col min="25" max="25" width="14.8515625" style="0" customWidth="1"/>
    <col min="26" max="26" width="12.7109375" style="0" bestFit="1" customWidth="1"/>
    <col min="27" max="27" width="11.421875" style="0" customWidth="1"/>
    <col min="28" max="29" width="13.00390625" style="0" customWidth="1"/>
    <col min="30" max="30" width="14.8515625" style="0" customWidth="1"/>
    <col min="31" max="31" width="12.7109375" style="0" bestFit="1" customWidth="1"/>
    <col min="32" max="32" width="11.421875" style="0" customWidth="1"/>
    <col min="33" max="34" width="13.00390625" style="0" customWidth="1"/>
    <col min="35" max="35" width="14.8515625" style="0" customWidth="1"/>
    <col min="36" max="36" width="12.7109375" style="0" bestFit="1" customWidth="1"/>
    <col min="37" max="37" width="11.421875" style="0" customWidth="1"/>
    <col min="38" max="39" width="13.00390625" style="0" customWidth="1"/>
    <col min="40" max="40" width="14.8515625" style="0" customWidth="1"/>
    <col min="41" max="41" width="12.7109375" style="0" bestFit="1" customWidth="1"/>
    <col min="42" max="42" width="11.421875" style="0" customWidth="1"/>
    <col min="43" max="44" width="13.00390625" style="0" customWidth="1"/>
    <col min="45" max="45" width="14.8515625" style="0" customWidth="1"/>
    <col min="46" max="46" width="12.7109375" style="0" bestFit="1" customWidth="1"/>
    <col min="47" max="47" width="11.421875" style="0" customWidth="1"/>
    <col min="48" max="49" width="13.00390625" style="0" customWidth="1"/>
    <col min="50" max="50" width="14.8515625" style="0" customWidth="1"/>
    <col min="51" max="51" width="12.7109375" style="0" bestFit="1" customWidth="1"/>
    <col min="52" max="52" width="11.421875" style="0" customWidth="1"/>
    <col min="53" max="54" width="13.00390625" style="0" customWidth="1"/>
    <col min="55" max="55" width="14.8515625" style="0" customWidth="1"/>
    <col min="56" max="56" width="12.421875" style="0" customWidth="1"/>
    <col min="57" max="58" width="11.421875" style="0" customWidth="1"/>
    <col min="59" max="59" width="13.00390625" style="0" customWidth="1"/>
    <col min="60" max="60" width="12.140625" style="0" customWidth="1"/>
    <col min="61" max="16384" width="11.421875" style="0" customWidth="1"/>
  </cols>
  <sheetData>
    <row r="1" spans="1:52" s="19" customFormat="1" ht="12.75">
      <c r="A1" s="48" t="s">
        <v>81</v>
      </c>
      <c r="G1" s="32"/>
      <c r="L1" s="32"/>
      <c r="Q1" s="32"/>
      <c r="V1" s="32"/>
      <c r="AA1" s="32"/>
      <c r="AF1" s="32"/>
      <c r="AK1" s="32"/>
      <c r="AP1" s="32"/>
      <c r="AU1" s="32"/>
      <c r="AZ1" s="32"/>
    </row>
    <row r="2" spans="1:3" s="19" customFormat="1" ht="12.75">
      <c r="A2" s="48" t="s">
        <v>82</v>
      </c>
      <c r="C2" s="48" t="s">
        <v>80</v>
      </c>
    </row>
    <row r="3" spans="2:4" ht="12.75">
      <c r="B3" s="5"/>
      <c r="D3" s="5"/>
    </row>
    <row r="4" spans="1:60" ht="114.75">
      <c r="A4" s="1" t="s">
        <v>33</v>
      </c>
      <c r="B4" s="3" t="s">
        <v>54</v>
      </c>
      <c r="C4" s="3" t="s">
        <v>38</v>
      </c>
      <c r="D4" s="3" t="s">
        <v>37</v>
      </c>
      <c r="E4" s="3" t="s">
        <v>40</v>
      </c>
      <c r="F4" s="3" t="s">
        <v>54</v>
      </c>
      <c r="G4" s="4" t="s">
        <v>56</v>
      </c>
      <c r="H4" s="3" t="s">
        <v>37</v>
      </c>
      <c r="I4" s="3" t="s">
        <v>57</v>
      </c>
      <c r="J4" s="3" t="s">
        <v>58</v>
      </c>
      <c r="K4" s="3" t="s">
        <v>54</v>
      </c>
      <c r="L4" s="4" t="s">
        <v>56</v>
      </c>
      <c r="M4" s="3" t="s">
        <v>37</v>
      </c>
      <c r="N4" s="3" t="s">
        <v>57</v>
      </c>
      <c r="O4" s="3" t="s">
        <v>58</v>
      </c>
      <c r="P4" s="3" t="s">
        <v>54</v>
      </c>
      <c r="Q4" s="4" t="s">
        <v>56</v>
      </c>
      <c r="R4" s="3" t="s">
        <v>37</v>
      </c>
      <c r="S4" s="3" t="s">
        <v>57</v>
      </c>
      <c r="T4" s="3" t="s">
        <v>58</v>
      </c>
      <c r="U4" s="3" t="s">
        <v>54</v>
      </c>
      <c r="V4" s="4" t="s">
        <v>56</v>
      </c>
      <c r="W4" s="3" t="s">
        <v>37</v>
      </c>
      <c r="X4" s="3" t="s">
        <v>57</v>
      </c>
      <c r="Y4" s="3" t="s">
        <v>58</v>
      </c>
      <c r="Z4" s="3" t="s">
        <v>54</v>
      </c>
      <c r="AA4" s="4" t="s">
        <v>56</v>
      </c>
      <c r="AB4" s="3" t="s">
        <v>37</v>
      </c>
      <c r="AC4" s="3" t="s">
        <v>57</v>
      </c>
      <c r="AD4" s="3" t="s">
        <v>58</v>
      </c>
      <c r="AE4" s="71" t="s">
        <v>54</v>
      </c>
      <c r="AF4" s="72" t="s">
        <v>56</v>
      </c>
      <c r="AG4" s="71" t="s">
        <v>37</v>
      </c>
      <c r="AH4" s="71" t="s">
        <v>57</v>
      </c>
      <c r="AI4" s="71" t="s">
        <v>58</v>
      </c>
      <c r="AJ4" s="3" t="s">
        <v>54</v>
      </c>
      <c r="AK4" s="4" t="s">
        <v>56</v>
      </c>
      <c r="AL4" s="3" t="s">
        <v>37</v>
      </c>
      <c r="AM4" s="3" t="s">
        <v>57</v>
      </c>
      <c r="AN4" s="3" t="s">
        <v>58</v>
      </c>
      <c r="AO4" s="3" t="s">
        <v>54</v>
      </c>
      <c r="AP4" s="4" t="s">
        <v>56</v>
      </c>
      <c r="AQ4" s="3" t="s">
        <v>37</v>
      </c>
      <c r="AR4" s="3" t="s">
        <v>57</v>
      </c>
      <c r="AS4" s="3" t="s">
        <v>58</v>
      </c>
      <c r="AT4" s="3" t="s">
        <v>54</v>
      </c>
      <c r="AU4" s="4" t="s">
        <v>56</v>
      </c>
      <c r="AV4" s="3" t="s">
        <v>37</v>
      </c>
      <c r="AW4" s="3" t="s">
        <v>57</v>
      </c>
      <c r="AX4" s="3" t="s">
        <v>58</v>
      </c>
      <c r="AY4" s="3" t="s">
        <v>54</v>
      </c>
      <c r="AZ4" s="4" t="s">
        <v>56</v>
      </c>
      <c r="BA4" s="3" t="s">
        <v>37</v>
      </c>
      <c r="BB4" s="3" t="s">
        <v>57</v>
      </c>
      <c r="BC4" s="3" t="s">
        <v>58</v>
      </c>
      <c r="BD4" s="71" t="s">
        <v>54</v>
      </c>
      <c r="BE4" s="72" t="s">
        <v>56</v>
      </c>
      <c r="BF4" s="71" t="s">
        <v>37</v>
      </c>
      <c r="BG4" s="71" t="s">
        <v>57</v>
      </c>
      <c r="BH4" s="71" t="s">
        <v>58</v>
      </c>
    </row>
    <row r="5" spans="1:60" ht="12.75">
      <c r="A5" s="2" t="s">
        <v>21</v>
      </c>
      <c r="B5" s="99" t="s">
        <v>67</v>
      </c>
      <c r="C5" s="100"/>
      <c r="D5" s="100"/>
      <c r="E5" s="101"/>
      <c r="F5" s="103" t="s">
        <v>96</v>
      </c>
      <c r="G5" s="104"/>
      <c r="H5" s="104"/>
      <c r="I5" s="104"/>
      <c r="J5" s="105"/>
      <c r="K5" s="96" t="s">
        <v>97</v>
      </c>
      <c r="L5" s="97"/>
      <c r="M5" s="97"/>
      <c r="N5" s="97"/>
      <c r="O5" s="98"/>
      <c r="P5" s="96" t="s">
        <v>98</v>
      </c>
      <c r="Q5" s="97"/>
      <c r="R5" s="97"/>
      <c r="S5" s="97"/>
      <c r="T5" s="98"/>
      <c r="U5" s="96" t="s">
        <v>99</v>
      </c>
      <c r="V5" s="97"/>
      <c r="W5" s="97"/>
      <c r="X5" s="97"/>
      <c r="Y5" s="98"/>
      <c r="Z5" s="96" t="s">
        <v>100</v>
      </c>
      <c r="AA5" s="97"/>
      <c r="AB5" s="97"/>
      <c r="AC5" s="97"/>
      <c r="AD5" s="98"/>
      <c r="AE5" s="94" t="s">
        <v>35</v>
      </c>
      <c r="AF5" s="95"/>
      <c r="AG5" s="95"/>
      <c r="AH5" s="95"/>
      <c r="AI5" s="102"/>
      <c r="AJ5" s="96" t="s">
        <v>102</v>
      </c>
      <c r="AK5" s="97"/>
      <c r="AL5" s="97"/>
      <c r="AM5" s="97"/>
      <c r="AN5" s="98"/>
      <c r="AO5" s="96" t="s">
        <v>103</v>
      </c>
      <c r="AP5" s="97"/>
      <c r="AQ5" s="97"/>
      <c r="AR5" s="97"/>
      <c r="AS5" s="98"/>
      <c r="AT5" s="96" t="s">
        <v>104</v>
      </c>
      <c r="AU5" s="97"/>
      <c r="AV5" s="97"/>
      <c r="AW5" s="97"/>
      <c r="AX5" s="98"/>
      <c r="AY5" s="96" t="s">
        <v>105</v>
      </c>
      <c r="AZ5" s="97"/>
      <c r="BA5" s="97"/>
      <c r="BB5" s="97"/>
      <c r="BC5" s="98"/>
      <c r="BD5" s="94" t="s">
        <v>36</v>
      </c>
      <c r="BE5" s="95"/>
      <c r="BF5" s="95"/>
      <c r="BG5" s="95"/>
      <c r="BH5" s="95"/>
    </row>
    <row r="6" spans="1:61" ht="12.75">
      <c r="A6" s="6" t="s">
        <v>1</v>
      </c>
      <c r="B6" s="7">
        <v>1199514</v>
      </c>
      <c r="C6" s="11">
        <f aca="true" t="shared" si="0" ref="C6:C13">+D6/B6*100</f>
        <v>4.719077893213417</v>
      </c>
      <c r="D6" s="12">
        <v>56606</v>
      </c>
      <c r="E6" s="33">
        <v>67</v>
      </c>
      <c r="F6" s="7">
        <f>+B6*(1+'Population growth '!J4)</f>
        <v>1220197.3510240775</v>
      </c>
      <c r="G6" s="9">
        <f>+C6*Parameters!$P$22</f>
        <v>5.8458175190138775</v>
      </c>
      <c r="H6" s="8">
        <f>+F6*G6/100</f>
        <v>71330.51051270877</v>
      </c>
      <c r="I6" s="8">
        <f>+D6*E6/100*(1+'Population growth '!J4)</f>
        <v>38579.98250865449</v>
      </c>
      <c r="J6" s="8">
        <f>+(H6-I6)-D6*(100-E6)/100</f>
        <v>14070.548004054286</v>
      </c>
      <c r="K6" s="7">
        <f>+F6*(1+'Population growth '!$J4)</f>
        <v>1241237.3473308154</v>
      </c>
      <c r="L6" s="9">
        <f>+G6*Parameters!$P$22</f>
        <v>7.2415805034189304</v>
      </c>
      <c r="M6" s="8">
        <f>+K6*L6/100</f>
        <v>89885.20174546265</v>
      </c>
      <c r="N6" s="8">
        <f>+D6*E6/100*(1+'Population growth '!J4)^2</f>
        <v>39245.221364332094</v>
      </c>
      <c r="O6" s="8">
        <f>+(M6-N6)-D6*(100-E6)/100</f>
        <v>31960.000381130554</v>
      </c>
      <c r="P6" s="7">
        <f>+K6*(1+'Population growth '!$J4)</f>
        <v>1262640.1385938085</v>
      </c>
      <c r="Q6" s="9">
        <f>+L6*Parameters!$P$22</f>
        <v>8.97059958114178</v>
      </c>
      <c r="R6" s="8">
        <f>+P6*Q6/100</f>
        <v>113266.39098402418</v>
      </c>
      <c r="S6" s="8">
        <f>+D6*E6/100*(1+'Population growth '!J4)^3</f>
        <v>39921.93100631719</v>
      </c>
      <c r="T6" s="8">
        <f>+(R6-S6)-D6*(100-E6)/100</f>
        <v>54664.479977707</v>
      </c>
      <c r="U6" s="7">
        <f>+P6*(1+'Population growth '!$J4)</f>
        <v>1284411.9805261458</v>
      </c>
      <c r="V6" s="9">
        <f>+Q6*Parameters!$P$22</f>
        <v>11.112443865974894</v>
      </c>
      <c r="W6" s="8">
        <f>+U6*V6/100</f>
        <v>142729.56034382436</v>
      </c>
      <c r="X6" s="8">
        <f>+D6*E6/100*(1+'Population growth '!J4)^4</f>
        <v>40610.309226631965</v>
      </c>
      <c r="Y6" s="8">
        <f>+(W6-X6)-D6*(100-E6)/100</f>
        <v>83439.27111719239</v>
      </c>
      <c r="Z6" s="7">
        <f>+U6*(1+'Population growth '!$J4)</f>
        <v>1306559.2367088604</v>
      </c>
      <c r="AA6" s="9">
        <f>+V6*Parameters!$P$22</f>
        <v>13.76568060556836</v>
      </c>
      <c r="AB6" s="8">
        <f>+Z6*AA6/100</f>
        <v>179856.7714478936</v>
      </c>
      <c r="AC6" s="8">
        <f>+D6*E6/100*(1+'Population growth '!J4)^5</f>
        <v>41310.55722784809</v>
      </c>
      <c r="AD6" s="8">
        <f>+(AB6-AC6)-D6*(100-E6)/100</f>
        <v>119866.23422004552</v>
      </c>
      <c r="AE6" s="73">
        <f>+Z6*(1+'Population growth '!$J4)</f>
        <v>1329088.3804509093</v>
      </c>
      <c r="AF6" s="74">
        <f>+AA6*Parameters!$P$22</f>
        <v>17.052411226546752</v>
      </c>
      <c r="AG6" s="75">
        <f>+AE6*AF6/100</f>
        <v>226641.61619873927</v>
      </c>
      <c r="AH6" s="75">
        <f>+D6*E6/100*(1+'Population growth '!J4)^6</f>
        <v>42022.87968189516</v>
      </c>
      <c r="AI6" s="75">
        <f>+(AG6-AH6)-D6*(100-E6)/100</f>
        <v>165938.7565168441</v>
      </c>
      <c r="AJ6" s="7">
        <f>+AE6*(1+'Population growth '!$K4)</f>
        <v>1342262.2381752112</v>
      </c>
      <c r="AK6" s="9">
        <f>+AF6*Parameters!$Q$22</f>
        <v>19.680729451956083</v>
      </c>
      <c r="AL6" s="8">
        <f>+AJ6*AK6/100</f>
        <v>264166.9996310337</v>
      </c>
      <c r="AM6" s="8">
        <f>+D6*E6/100*(1+'Population growth '!J4)^7</f>
        <v>42747.48478988324</v>
      </c>
      <c r="AN6" s="8">
        <f>+(AL6-AM6)-D6*(100-E6)/100</f>
        <v>202739.53484115042</v>
      </c>
      <c r="AO6" s="7">
        <f>+AJ6*(1+'Population growth '!$K4)</f>
        <v>1355566.6745200872</v>
      </c>
      <c r="AP6" s="9">
        <f>+AK6*Parameters!$Q$22</f>
        <v>22.71415500220312</v>
      </c>
      <c r="AQ6" s="8">
        <f>+AO6*AP6/100</f>
        <v>307905.5156087029</v>
      </c>
      <c r="AR6" s="8">
        <f>+D6*E6/100*(1+'Population growth '!J4)^8</f>
        <v>43484.58434295687</v>
      </c>
      <c r="AS6" s="8">
        <f>+(AQ6-AR6)-D6*(100-E6)/100</f>
        <v>245740.951265746</v>
      </c>
      <c r="AT6" s="7">
        <f>+AO6*(1+'Population growth '!$K4)</f>
        <v>1369002.9837743102</v>
      </c>
      <c r="AU6" s="9">
        <f>+AP6*Parameters!$Q$22</f>
        <v>26.21512778393639</v>
      </c>
      <c r="AV6" s="8">
        <f>+AT6*AU6/100</f>
        <v>358885.88156233734</v>
      </c>
      <c r="AW6" s="8">
        <f>+D6*E6/100*(1+'Population growth '!J4)^9</f>
        <v>44234.393784198466</v>
      </c>
      <c r="AX6" s="8">
        <f>+(AV6-AW6)-D6*(100-E6)/100</f>
        <v>295971.5077781389</v>
      </c>
      <c r="AY6" s="7">
        <f>+AT6*(1+'Population growth '!$K4)</f>
        <v>1382572.473055579</v>
      </c>
      <c r="AZ6" s="9">
        <f>+AU6*Parameters!$Q$22</f>
        <v>30.25571167676969</v>
      </c>
      <c r="BA6" s="8">
        <f>+AY6*AZ6/100</f>
        <v>418307.1411700803</v>
      </c>
      <c r="BB6" s="8">
        <f>+D6*E6/100*(1+'Population growth '!J4)^10</f>
        <v>44997.132271599075</v>
      </c>
      <c r="BC6" s="8">
        <f>+(BA6-BB6)-D6*(100-E6)/100</f>
        <v>354630.0288984812</v>
      </c>
      <c r="BD6" s="73">
        <f>+AY6*(1+'Population growth '!$K4)</f>
        <v>1396276.4624376781</v>
      </c>
      <c r="BE6" s="74">
        <f>+AZ6*Parameters!$Q$22</f>
        <v>34.919077893213405</v>
      </c>
      <c r="BF6" s="75">
        <f>+BD6*BE6/100</f>
        <v>487566.8655232175</v>
      </c>
      <c r="BG6" s="75">
        <f>+D6*E6/100*(1+'Population growth '!J4)^11</f>
        <v>45773.02274211491</v>
      </c>
      <c r="BH6" s="80">
        <f>+(BF6-BG6)-D6*(100-E6)/100</f>
        <v>423113.8627811026</v>
      </c>
      <c r="BI6" s="13"/>
    </row>
    <row r="7" spans="1:61" ht="12.75">
      <c r="A7" s="6" t="s">
        <v>2</v>
      </c>
      <c r="B7" s="7">
        <v>39655</v>
      </c>
      <c r="C7" s="11">
        <f t="shared" si="0"/>
        <v>44.735846677594246</v>
      </c>
      <c r="D7" s="12">
        <v>17740</v>
      </c>
      <c r="E7" s="33">
        <v>99.4</v>
      </c>
      <c r="F7" s="7">
        <f>+B7*(1+'Population growth '!J5)</f>
        <v>39655</v>
      </c>
      <c r="G7" s="9">
        <f>+C7*Parameters!$P$23</f>
        <v>45.97947818809703</v>
      </c>
      <c r="H7" s="8">
        <f>+F7*G7/100</f>
        <v>18233.16207548988</v>
      </c>
      <c r="I7" s="8">
        <f>+D7*E7/100*(1+'Population growth '!J5)</f>
        <v>17633.56</v>
      </c>
      <c r="J7" s="8">
        <f>+(H7-I7)-D7*(100-E7)/100</f>
        <v>493.16207548987916</v>
      </c>
      <c r="K7" s="7">
        <f>+F7*(1+'Population growth '!$J5)</f>
        <v>39655</v>
      </c>
      <c r="L7" s="9">
        <f>+G7*Parameters!$P$23</f>
        <v>47.257681958851464</v>
      </c>
      <c r="M7" s="8">
        <f>+K7*L7/100</f>
        <v>18740.03378078255</v>
      </c>
      <c r="N7" s="8">
        <f>+D7*E7/100*(1+'Population growth '!J5)^2</f>
        <v>17633.56</v>
      </c>
      <c r="O7" s="8">
        <f>+(M7-N7)-D7*(100-E7)/100</f>
        <v>1000.0337807825487</v>
      </c>
      <c r="P7" s="7">
        <f>+K7*(1+'Population growth '!$J5)</f>
        <v>39655</v>
      </c>
      <c r="Q7" s="9">
        <f>+L7*Parameters!$P$23</f>
        <v>48.571419079351344</v>
      </c>
      <c r="R7" s="8">
        <f>+P7*Q7/100</f>
        <v>19260.996235916777</v>
      </c>
      <c r="S7" s="8">
        <f>+D7*E7/100*(1+'Population growth '!J5)^3</f>
        <v>17633.56</v>
      </c>
      <c r="T7" s="8">
        <f>+(R7-S7)-D7*(100-E7)/100</f>
        <v>1520.9962359167764</v>
      </c>
      <c r="U7" s="7">
        <f>+P7*(1+'Population growth '!$J5)</f>
        <v>39655</v>
      </c>
      <c r="V7" s="9">
        <f>+Q7*Parameters!$P$23</f>
        <v>49.921677356840725</v>
      </c>
      <c r="W7" s="8">
        <f>+U7*V7/100</f>
        <v>19796.44115585519</v>
      </c>
      <c r="X7" s="8">
        <f>+D7*E7/100*(1+'Population growth '!J5)^4</f>
        <v>17633.56</v>
      </c>
      <c r="Y7" s="8">
        <f>+(W7-X7)-D7*(100-E7)/100</f>
        <v>2056.4411558551906</v>
      </c>
      <c r="Z7" s="7">
        <f>+U7*(1+'Population growth '!$J5)</f>
        <v>39655</v>
      </c>
      <c r="AA7" s="9">
        <f>+V7*Parameters!$P$23</f>
        <v>51.30947205905243</v>
      </c>
      <c r="AB7" s="8">
        <f>+Z7*AA7/100</f>
        <v>20346.771145017243</v>
      </c>
      <c r="AC7" s="8">
        <f>+D7*E7/100*(1+'Population growth '!J5)^5</f>
        <v>17633.56</v>
      </c>
      <c r="AD7" s="8">
        <f>+(AB7-AC7)-D7*(100-E7)/100</f>
        <v>2606.7711450172424</v>
      </c>
      <c r="AE7" s="73">
        <f>+Z7*(1+'Population growth '!$J5)</f>
        <v>39655</v>
      </c>
      <c r="AF7" s="74">
        <f>+AA7*Parameters!$P$23</f>
        <v>52.735846677594274</v>
      </c>
      <c r="AG7" s="75">
        <f>+AE7*AF7/100</f>
        <v>20912.40000000001</v>
      </c>
      <c r="AH7" s="75">
        <f>+D7*E7/100*(1+'Population growth '!J5)^6</f>
        <v>17633.56</v>
      </c>
      <c r="AI7" s="75">
        <f>+(AG7-AH7)-D7*(100-E7)/100</f>
        <v>3172.4000000000083</v>
      </c>
      <c r="AJ7" s="7">
        <f>+AE7*(1+'Population growth '!$K5)</f>
        <v>39655</v>
      </c>
      <c r="AK7" s="9">
        <f>+AF7*Parameters!$Q$23</f>
        <v>52.735846677594274</v>
      </c>
      <c r="AL7" s="8">
        <f>+AJ7*AK7/100</f>
        <v>20912.40000000001</v>
      </c>
      <c r="AM7" s="8">
        <f>+D7*E7/100*(1+'Population growth '!J5)^7</f>
        <v>17633.56</v>
      </c>
      <c r="AN7" s="8">
        <f>+(AL7-AM7)-D7*(100-E7)/100</f>
        <v>3172.4000000000083</v>
      </c>
      <c r="AO7" s="7">
        <f>+AJ7*(1+'Population growth '!$K5)</f>
        <v>39655</v>
      </c>
      <c r="AP7" s="9">
        <f>+AK7*Parameters!$Q$23</f>
        <v>52.735846677594274</v>
      </c>
      <c r="AQ7" s="8">
        <f>+AO7*AP7/100</f>
        <v>20912.40000000001</v>
      </c>
      <c r="AR7" s="8">
        <f>+D7*E7/100*(1+'Population growth '!J5)^8</f>
        <v>17633.56</v>
      </c>
      <c r="AS7" s="8">
        <f>+(AQ7-AR7)-D7*(100-E7)/100</f>
        <v>3172.4000000000083</v>
      </c>
      <c r="AT7" s="7">
        <f>+AO7*(1+'Population growth '!$K5)</f>
        <v>39655</v>
      </c>
      <c r="AU7" s="9">
        <f>+AP7*Parameters!$Q$23</f>
        <v>52.735846677594274</v>
      </c>
      <c r="AV7" s="8">
        <f>+AT7*AU7/100</f>
        <v>20912.40000000001</v>
      </c>
      <c r="AW7" s="8">
        <f>+D7*E7/100*(1+'Population growth '!J5)^9</f>
        <v>17633.56</v>
      </c>
      <c r="AX7" s="8">
        <f>+(AV7-AW7)-D7*(100-E7)/100</f>
        <v>3172.4000000000083</v>
      </c>
      <c r="AY7" s="7">
        <f>+AT7*(1+'Population growth '!$K5)</f>
        <v>39655</v>
      </c>
      <c r="AZ7" s="9">
        <f>+AU7*Parameters!$Q$23</f>
        <v>52.735846677594274</v>
      </c>
      <c r="BA7" s="8">
        <f>+AY7*AZ7/100</f>
        <v>20912.40000000001</v>
      </c>
      <c r="BB7" s="8">
        <f>+D7*E7/100*(1+'Population growth '!J5)^10</f>
        <v>17633.56</v>
      </c>
      <c r="BC7" s="8">
        <f>+(BA7-BB7)-D7*(100-E7)/100</f>
        <v>3172.4000000000083</v>
      </c>
      <c r="BD7" s="73">
        <f>+AY7*(1+'Population growth '!$K5)</f>
        <v>39655</v>
      </c>
      <c r="BE7" s="74">
        <f>+AZ7*Parameters!$Q$23</f>
        <v>52.735846677594274</v>
      </c>
      <c r="BF7" s="75">
        <f>+BD7*BE7/100</f>
        <v>20912.40000000001</v>
      </c>
      <c r="BG7" s="75">
        <f>+D7*E7/100*(1+'Population growth '!J5)^11</f>
        <v>17633.56</v>
      </c>
      <c r="BH7" s="81">
        <f>+(BF7-BG7)-D7*(100-E7)/100</f>
        <v>3172.4000000000083</v>
      </c>
      <c r="BI7" s="13"/>
    </row>
    <row r="8" spans="1:61" ht="12.75">
      <c r="A8" s="6" t="s">
        <v>3</v>
      </c>
      <c r="B8" s="7">
        <v>44861</v>
      </c>
      <c r="C8" s="11">
        <f t="shared" si="0"/>
        <v>1.783286150553933</v>
      </c>
      <c r="D8" s="12">
        <v>800</v>
      </c>
      <c r="E8" s="33">
        <v>76.5</v>
      </c>
      <c r="F8" s="7">
        <f>+B8*(1+'Population growth '!J6)</f>
        <v>44935.520344471035</v>
      </c>
      <c r="G8" s="9">
        <f>+C8*Parameters!$P$24</f>
        <v>2.6851583376645185</v>
      </c>
      <c r="H8" s="8">
        <f>+F8*G8/100</f>
        <v>1206.5898711025</v>
      </c>
      <c r="I8" s="8">
        <f>+D8*E8/100*(1+'Population growth '!J6)</f>
        <v>613.0166169014573</v>
      </c>
      <c r="J8" s="8">
        <f>+(H8-I8)-D8*(100-E8)/100</f>
        <v>405.5732542010427</v>
      </c>
      <c r="K8" s="7">
        <f>+F8*(1+'Population growth '!$J6)</f>
        <v>45010.16447757229</v>
      </c>
      <c r="L8" s="9">
        <f>+G8*Parameters!$P$24</f>
        <v>4.043139849479373</v>
      </c>
      <c r="M8" s="8">
        <f>+K8*L8/100</f>
        <v>1819.8238963089345</v>
      </c>
      <c r="N8" s="8">
        <f>+D8*E8/100*(1+'Population growth '!J6)^2</f>
        <v>614.0349225446209</v>
      </c>
      <c r="O8" s="8">
        <f>+(M8-N8)-D8*(100-E8)/100</f>
        <v>1017.7889737643136</v>
      </c>
      <c r="P8" s="7">
        <f>+K8*(1+'Population growth '!$J6)</f>
        <v>45084.93260493384</v>
      </c>
      <c r="Q8" s="9">
        <f>+L8*Parameters!$P$24</f>
        <v>6.08790163810834</v>
      </c>
      <c r="R8" s="8">
        <f>+P8*Q8/100</f>
        <v>2744.7263505958085</v>
      </c>
      <c r="S8" s="8">
        <f>+D8*E8/100*(1+'Population growth '!J6)^3</f>
        <v>615.0549197347252</v>
      </c>
      <c r="T8" s="8">
        <f>+(R8-S8)-D8*(100-E8)/100</f>
        <v>1941.6714308610835</v>
      </c>
      <c r="U8" s="7">
        <f>+P8*(1+'Population growth '!$J6)</f>
        <v>45159.824932527365</v>
      </c>
      <c r="V8" s="9">
        <f>+Q8*Parameters!$P$24</f>
        <v>9.166773283900797</v>
      </c>
      <c r="W8" s="8">
        <f>+U8*V8/100</f>
        <v>4139.69876697129</v>
      </c>
      <c r="X8" s="8">
        <f>+D8*E8/100*(1+'Population growth '!J6)^4</f>
        <v>616.0766112816644</v>
      </c>
      <c r="Y8" s="8">
        <f>+(W8-X8)-D8*(100-E8)/100</f>
        <v>3335.6221556896253</v>
      </c>
      <c r="Z8" s="7">
        <f>+U8*(1+'Population growth '!$J6)</f>
        <v>45234.841666666674</v>
      </c>
      <c r="AA8" s="9">
        <f>+V8*Parameters!$P$24</f>
        <v>13.802741475394058</v>
      </c>
      <c r="AB8" s="8">
        <f>+Z8*AA8/100</f>
        <v>6243.648252053834</v>
      </c>
      <c r="AC8" s="8">
        <f>+D8*E8/100*(1+'Population growth '!J6)^5</f>
        <v>617.1000000000001</v>
      </c>
      <c r="AD8" s="8">
        <f>+(AB8-AC8)-D8*(100-E8)/100</f>
        <v>5438.5482520538335</v>
      </c>
      <c r="AE8" s="73">
        <f>+Z8*(1+'Population growth '!$J6)</f>
        <v>45309.9830140083</v>
      </c>
      <c r="AF8" s="74">
        <f>+AA8*Parameters!$P$24</f>
        <v>20.78328615055394</v>
      </c>
      <c r="AG8" s="75">
        <f>+AE8*AF8/100</f>
        <v>9416.90342456873</v>
      </c>
      <c r="AH8" s="75">
        <f>+D8*E8/100*(1+'Population growth '!J6)^6</f>
        <v>618.1250887089695</v>
      </c>
      <c r="AI8" s="75">
        <f>+(AG8-AH8)-D8*(100-E8)/100</f>
        <v>8610.77833585976</v>
      </c>
      <c r="AJ8" s="7">
        <f>+AE8*(1+'Population growth '!$K6)</f>
        <v>45309.9830140083</v>
      </c>
      <c r="AK8" s="9">
        <f>+AF8*Parameters!$Q$24</f>
        <v>20.78328615055394</v>
      </c>
      <c r="AL8" s="8">
        <f>+AJ8*AK8/100</f>
        <v>9416.90342456873</v>
      </c>
      <c r="AM8" s="8">
        <f>+D8*E8/100*(1+'Population growth '!J6)^7</f>
        <v>619.1518802324928</v>
      </c>
      <c r="AN8" s="8">
        <f>+(AL8-AM8)-D8*(100-E8)/100</f>
        <v>8609.751544336237</v>
      </c>
      <c r="AO8" s="7">
        <f>+AJ8*(1+'Population growth '!$K6)</f>
        <v>45309.9830140083</v>
      </c>
      <c r="AP8" s="9">
        <f>+AK8*Parameters!$Q$24</f>
        <v>20.78328615055394</v>
      </c>
      <c r="AQ8" s="8">
        <f>+AO8*AP8/100</f>
        <v>9416.90342456873</v>
      </c>
      <c r="AR8" s="8">
        <f>+D8*E8/100*(1+'Population growth '!J6)^8</f>
        <v>620.1803773991815</v>
      </c>
      <c r="AS8" s="8">
        <f>+(AQ8-AR8)-D8*(100-E8)/100</f>
        <v>8608.72304716955</v>
      </c>
      <c r="AT8" s="7">
        <f>+AO8*(1+'Population growth '!$K6)</f>
        <v>45309.9830140083</v>
      </c>
      <c r="AU8" s="9">
        <f>+AP8*Parameters!$Q$24</f>
        <v>20.78328615055394</v>
      </c>
      <c r="AV8" s="8">
        <f>+AT8*AU8/100</f>
        <v>9416.90342456873</v>
      </c>
      <c r="AW8" s="8">
        <f>+D8*E8/100*(1+'Population growth '!J6)^9</f>
        <v>621.2105830423451</v>
      </c>
      <c r="AX8" s="8">
        <f>+(AV8-AW8)-D8*(100-E8)/100</f>
        <v>8607.692841526386</v>
      </c>
      <c r="AY8" s="7">
        <f>+AT8*(1+'Population growth '!$K6)</f>
        <v>45309.9830140083</v>
      </c>
      <c r="AZ8" s="9">
        <f>+AU8*Parameters!$Q$24</f>
        <v>20.78328615055394</v>
      </c>
      <c r="BA8" s="8">
        <f>+AY8*AZ8/100</f>
        <v>9416.90342456873</v>
      </c>
      <c r="BB8" s="8">
        <f>+D8*E8/100*(1+'Population growth '!J6)^10</f>
        <v>622.2425000000003</v>
      </c>
      <c r="BC8" s="8">
        <f>+(BA8-BB8)-D8*(100-E8)/100</f>
        <v>8606.66092456873</v>
      </c>
      <c r="BD8" s="73">
        <f>+AY8*(1+'Population growth '!$K6)</f>
        <v>45309.9830140083</v>
      </c>
      <c r="BE8" s="74">
        <f>+AZ8*Parameters!$Q$24</f>
        <v>20.78328615055394</v>
      </c>
      <c r="BF8" s="75">
        <f>+BD8*BE8/100</f>
        <v>9416.90342456873</v>
      </c>
      <c r="BG8" s="75">
        <f>+D8*E8/100*(1+'Population growth '!J6)^11</f>
        <v>623.2761311148777</v>
      </c>
      <c r="BH8" s="81">
        <f>+(BF8-BG8)-D8*(100-E8)/100</f>
        <v>8605.627293453854</v>
      </c>
      <c r="BI8" s="13"/>
    </row>
    <row r="9" spans="1:61" ht="12.75">
      <c r="A9" s="6" t="s">
        <v>4</v>
      </c>
      <c r="B9" s="7">
        <v>3270603</v>
      </c>
      <c r="C9" s="11">
        <f t="shared" si="0"/>
        <v>14.368665350089877</v>
      </c>
      <c r="D9" s="12">
        <v>469942</v>
      </c>
      <c r="E9" s="33">
        <v>67</v>
      </c>
      <c r="F9" s="7">
        <f>+B9*(1+'Population growth '!J7)</f>
        <v>3302839.3466717503</v>
      </c>
      <c r="G9" s="9">
        <f>+C9*Parameters!$P$25</f>
        <v>15.655083174642394</v>
      </c>
      <c r="H9" s="8">
        <f>+F9*G9/100</f>
        <v>517062.24684627797</v>
      </c>
      <c r="I9" s="8">
        <f>+D9*E9/100*(1+'Population growth '!J7)</f>
        <v>317964.5349588203</v>
      </c>
      <c r="J9" s="8">
        <f>+(H9-I9)-D9*(100-E9)/100</f>
        <v>44016.851887457655</v>
      </c>
      <c r="K9" s="7">
        <f>+F9*(1+'Population growth '!$J7)</f>
        <v>3335393.427427014</v>
      </c>
      <c r="L9" s="9">
        <f>+G9*Parameters!$P$25</f>
        <v>17.056673200579368</v>
      </c>
      <c r="M9" s="8">
        <f>+K9*L9/100</f>
        <v>568907.1568698292</v>
      </c>
      <c r="N9" s="8">
        <f>+D9*E9/100*(1+'Population growth '!J7)^2</f>
        <v>321098.51819623995</v>
      </c>
      <c r="O9" s="8">
        <f>+(M9-N9)-D9*(100-E9)/100</f>
        <v>92727.77867358923</v>
      </c>
      <c r="P9" s="7">
        <f>+K9*(1+'Population growth '!$J7)</f>
        <v>3368268.3739776085</v>
      </c>
      <c r="Q9" s="9">
        <f>+L9*Parameters!$P$25</f>
        <v>18.583746724680566</v>
      </c>
      <c r="R9" s="8">
        <f>+P9*Q9/100</f>
        <v>625950.4636275152</v>
      </c>
      <c r="S9" s="8">
        <f>+D9*E9/100*(1+'Population growth '!J7)^3</f>
        <v>324263.39120233676</v>
      </c>
      <c r="T9" s="8">
        <f>+(R9-S9)-D9*(100-E9)/100</f>
        <v>146606.2124251785</v>
      </c>
      <c r="U9" s="7">
        <f>+P9*(1+'Population growth '!$J7)</f>
        <v>3401467.3489027326</v>
      </c>
      <c r="V9" s="9">
        <f>+Q9*Parameters!$P$25</f>
        <v>20.247538207822664</v>
      </c>
      <c r="W9" s="8">
        <f>+U9*V9/100</f>
        <v>688713.4010956935</v>
      </c>
      <c r="X9" s="8">
        <f>+D9*E9/100*(1+'Population growth '!J7)^4</f>
        <v>327459.45843879314</v>
      </c>
      <c r="Y9" s="8">
        <f>+(W9-X9)-D9*(100-E9)/100</f>
        <v>206173.08265690034</v>
      </c>
      <c r="Z9" s="7">
        <f>+U9*(1+'Population growth '!$J7)</f>
        <v>3434993.545953206</v>
      </c>
      <c r="AA9" s="9">
        <f>+V9*Parameters!$P$25</f>
        <v>22.06028792529648</v>
      </c>
      <c r="AB9" s="8">
        <f>+Z9*AA9/100</f>
        <v>757769.4664526284</v>
      </c>
      <c r="AC9" s="8">
        <f>+D9*E9/100*(1+'Population growth '!J7)^5</f>
        <v>330687.0273681852</v>
      </c>
      <c r="AD9" s="8">
        <f>+(AB9-AC9)-D9*(100-E9)/100</f>
        <v>272001.57908444316</v>
      </c>
      <c r="AE9" s="73">
        <f>+Z9*(1+'Population growth '!$J7)</f>
        <v>3468850.190358709</v>
      </c>
      <c r="AF9" s="74">
        <f>+AA9*Parameters!$P$25</f>
        <v>24.03533201675655</v>
      </c>
      <c r="AG9" s="75">
        <f>+AE9*AF9/100</f>
        <v>833749.6604166073</v>
      </c>
      <c r="AH9" s="75">
        <f>+D9*E9/100*(1+'Population growth '!J7)^6</f>
        <v>333946.408483561</v>
      </c>
      <c r="AI9" s="75">
        <f>+(AG9-AH9)-D9*(100-E9)/100</f>
        <v>344722.3919330463</v>
      </c>
      <c r="AJ9" s="7">
        <f>+AE9*(1+'Population growth '!$K7)</f>
        <v>3477898.3363364767</v>
      </c>
      <c r="AK9" s="9">
        <f>+AF9*Parameters!$Q$25</f>
        <v>28.741489161127635</v>
      </c>
      <c r="AL9" s="8">
        <f>+AJ9*AK9/100</f>
        <v>999599.7733731867</v>
      </c>
      <c r="AM9" s="8">
        <f>+D9*E9/100*(1+'Population growth '!J7)^7</f>
        <v>337237.91533830983</v>
      </c>
      <c r="AN9" s="8">
        <f>+(AL9-AM9)-D9*(100-E9)/100</f>
        <v>507280.9980348769</v>
      </c>
      <c r="AO9" s="7">
        <f>+AJ9*(1+'Population growth '!$K7)</f>
        <v>3486970.083490756</v>
      </c>
      <c r="AP9" s="9">
        <f>+AK9*Parameters!$Q$25</f>
        <v>34.36911953715928</v>
      </c>
      <c r="AQ9" s="8">
        <f>+AO9*AP9/100</f>
        <v>1198440.9162199206</v>
      </c>
      <c r="AR9" s="8">
        <f>+D9*E9/100*(1+'Population growth '!J7)^8</f>
        <v>340561.8645763262</v>
      </c>
      <c r="AS9" s="8">
        <f>+(AQ9-AR9)-D9*(100-E9)/100</f>
        <v>702798.1916435944</v>
      </c>
      <c r="AT9" s="7">
        <f>+AO9*(1+'Population growth '!$K7)</f>
        <v>3496065.493382836</v>
      </c>
      <c r="AU9" s="9">
        <f>+AP9*Parameters!$Q$25</f>
        <v>41.09864910399789</v>
      </c>
      <c r="AV9" s="8">
        <f>+AT9*AU9/100</f>
        <v>1436835.6895713645</v>
      </c>
      <c r="AW9" s="8">
        <f>+D9*E9/100*(1+'Population growth '!J7)^9</f>
        <v>343918.57596247125</v>
      </c>
      <c r="AX9" s="8">
        <f>+(AV9-AW9)-D9*(100-E9)/100</f>
        <v>937836.2536088933</v>
      </c>
      <c r="AY9" s="7">
        <f>+AT9*(1+'Population growth '!$K7)</f>
        <v>3505184.6277345833</v>
      </c>
      <c r="AZ9" s="9">
        <f>+AU9*Parameters!$Q$25</f>
        <v>49.145831517369054</v>
      </c>
      <c r="BA9" s="8">
        <f>+AY9*AZ9/100</f>
        <v>1722652.131519158</v>
      </c>
      <c r="BB9" s="8">
        <f>+D9*E9/100*(1+'Population growth '!J7)^10</f>
        <v>347308.372413334</v>
      </c>
      <c r="BC9" s="8">
        <f>+(BA9-BB9)-D9*(100-E9)/100</f>
        <v>1220262.899105824</v>
      </c>
      <c r="BD9" s="73">
        <f>+AY9*(1+'Population growth '!$K7)</f>
        <v>3514327.548428858</v>
      </c>
      <c r="BE9" s="74">
        <f>+AZ9*Parameters!$Q$25</f>
        <v>58.768665350089925</v>
      </c>
      <c r="BF9" s="75">
        <f>+BD9*BE9/100</f>
        <v>2065323.396242175</v>
      </c>
      <c r="BG9" s="75">
        <f>+D9*E9/100*(1+'Population growth '!J7)^11</f>
        <v>350731.580028296</v>
      </c>
      <c r="BH9" s="81">
        <f>+(BF9-BG9)-D9*(100-E9)/100</f>
        <v>1559510.956213879</v>
      </c>
      <c r="BI9" s="13"/>
    </row>
    <row r="10" spans="1:61" ht="12.75">
      <c r="A10" s="6" t="s">
        <v>5</v>
      </c>
      <c r="B10" s="7">
        <v>1590822</v>
      </c>
      <c r="C10" s="11">
        <f t="shared" si="0"/>
        <v>5.718175886428526</v>
      </c>
      <c r="D10" s="12">
        <v>90966</v>
      </c>
      <c r="E10" s="33">
        <v>67</v>
      </c>
      <c r="F10" s="7">
        <f>+B10*(1+'Population growth '!J8)</f>
        <v>1603786.075275346</v>
      </c>
      <c r="G10" s="9" t="s">
        <v>34</v>
      </c>
      <c r="H10" s="8" t="s">
        <v>34</v>
      </c>
      <c r="I10" s="8" t="s">
        <v>34</v>
      </c>
      <c r="J10" s="8" t="s">
        <v>34</v>
      </c>
      <c r="K10" s="7">
        <f>+F10*(1+'Population growth '!$J8)</f>
        <v>1616855.7986041794</v>
      </c>
      <c r="L10" s="9" t="s">
        <v>34</v>
      </c>
      <c r="M10" s="8" t="s">
        <v>34</v>
      </c>
      <c r="N10" s="8" t="s">
        <v>34</v>
      </c>
      <c r="O10" s="8" t="s">
        <v>34</v>
      </c>
      <c r="P10" s="7">
        <f>+K10*(1+'Population growth '!$J8)</f>
        <v>1630032.0309434885</v>
      </c>
      <c r="Q10" s="9" t="s">
        <v>34</v>
      </c>
      <c r="R10" s="8" t="s">
        <v>34</v>
      </c>
      <c r="S10" s="8" t="s">
        <v>34</v>
      </c>
      <c r="T10" s="8" t="s">
        <v>34</v>
      </c>
      <c r="U10" s="7">
        <f>+P10*(1+'Population growth '!$J8)</f>
        <v>1643315.6402664527</v>
      </c>
      <c r="V10" s="9" t="s">
        <v>34</v>
      </c>
      <c r="W10" s="8" t="s">
        <v>34</v>
      </c>
      <c r="X10" s="8" t="s">
        <v>34</v>
      </c>
      <c r="Y10" s="8" t="s">
        <v>34</v>
      </c>
      <c r="Z10" s="7">
        <f>+U10*(1+'Population growth '!$J8)</f>
        <v>1656707.5016196196</v>
      </c>
      <c r="AA10" s="9" t="s">
        <v>34</v>
      </c>
      <c r="AB10" s="8" t="s">
        <v>34</v>
      </c>
      <c r="AC10" s="8" t="s">
        <v>34</v>
      </c>
      <c r="AD10" s="8" t="s">
        <v>34</v>
      </c>
      <c r="AE10" s="73">
        <f>+Z10*(1+'Population growth '!$J8)</f>
        <v>1670208.4971805478</v>
      </c>
      <c r="AF10" s="74" t="s">
        <v>34</v>
      </c>
      <c r="AG10" s="75" t="s">
        <v>34</v>
      </c>
      <c r="AH10" s="75" t="s">
        <v>34</v>
      </c>
      <c r="AI10" s="75" t="s">
        <v>34</v>
      </c>
      <c r="AJ10" s="7">
        <f>+AE10*(1+'Population growth '!$K8)</f>
        <v>1685367.5366111782</v>
      </c>
      <c r="AK10" s="9" t="s">
        <v>34</v>
      </c>
      <c r="AL10" s="8" t="s">
        <v>34</v>
      </c>
      <c r="AM10" s="8" t="s">
        <v>34</v>
      </c>
      <c r="AN10" s="8" t="s">
        <v>34</v>
      </c>
      <c r="AO10" s="7">
        <f>+AJ10*(1+'Population growth '!$K8)</f>
        <v>1700664.1615449642</v>
      </c>
      <c r="AP10" s="9" t="s">
        <v>34</v>
      </c>
      <c r="AQ10" s="8" t="s">
        <v>34</v>
      </c>
      <c r="AR10" s="8" t="s">
        <v>34</v>
      </c>
      <c r="AS10" s="8" t="s">
        <v>34</v>
      </c>
      <c r="AT10" s="7">
        <f>+AO10*(1+'Population growth '!$K8)</f>
        <v>1716099.6207266408</v>
      </c>
      <c r="AU10" s="9" t="s">
        <v>34</v>
      </c>
      <c r="AV10" s="8" t="s">
        <v>34</v>
      </c>
      <c r="AW10" s="8" t="s">
        <v>34</v>
      </c>
      <c r="AX10" s="8" t="s">
        <v>34</v>
      </c>
      <c r="AY10" s="7">
        <f>+AT10*(1+'Population growth '!$K8)</f>
        <v>1731675.1742347204</v>
      </c>
      <c r="AZ10" s="9" t="s">
        <v>34</v>
      </c>
      <c r="BA10" s="8" t="s">
        <v>34</v>
      </c>
      <c r="BB10" s="10" t="s">
        <v>34</v>
      </c>
      <c r="BC10" s="8" t="s">
        <v>34</v>
      </c>
      <c r="BD10" s="73">
        <f>+AY10*(1+'Population growth '!$K8)</f>
        <v>1747392.093584359</v>
      </c>
      <c r="BE10" s="74" t="s">
        <v>34</v>
      </c>
      <c r="BF10" s="75" t="s">
        <v>34</v>
      </c>
      <c r="BG10" s="75" t="s">
        <v>34</v>
      </c>
      <c r="BH10" s="81" t="s">
        <v>34</v>
      </c>
      <c r="BI10" s="13"/>
    </row>
    <row r="11" spans="1:61" ht="12.75">
      <c r="A11" s="6" t="s">
        <v>6</v>
      </c>
      <c r="B11" s="7">
        <v>296152</v>
      </c>
      <c r="C11" s="11">
        <f t="shared" si="0"/>
        <v>29.635795132229397</v>
      </c>
      <c r="D11" s="12">
        <v>87767</v>
      </c>
      <c r="E11" s="33">
        <v>67</v>
      </c>
      <c r="F11" s="7">
        <f>+B11*(1+'Population growth '!J9)</f>
        <v>296796.51534768764</v>
      </c>
      <c r="G11" s="9">
        <f>+C11*Parameters!$P$27</f>
        <v>31.68972447259224</v>
      </c>
      <c r="H11" s="8">
        <f>+F11*G11/100</f>
        <v>94053.99795793716</v>
      </c>
      <c r="I11" s="8">
        <f>+D11*E11/100*(1+'Population growth '!J9)</f>
        <v>58931.86485618445</v>
      </c>
      <c r="J11" s="8">
        <f>+(H11-I11)-D11*(100-E11)/100</f>
        <v>6159.023101752704</v>
      </c>
      <c r="K11" s="7">
        <f>+F11*(1+'Population growth '!$J9)</f>
        <v>297442.43335358263</v>
      </c>
      <c r="L11" s="9">
        <f>+G11*Parameters!$P$27</f>
        <v>33.886002810725536</v>
      </c>
      <c r="M11" s="8">
        <f>+K11*L11/100</f>
        <v>100791.35132648544</v>
      </c>
      <c r="N11" s="8">
        <f>+D11*E11/100*(1+'Population growth '!J9)^2</f>
        <v>59060.118223940415</v>
      </c>
      <c r="O11" s="8">
        <f>+(M11-N11)-D11*(100-E11)/100</f>
        <v>12768.123102545025</v>
      </c>
      <c r="P11" s="7">
        <f>+K11*(1+'Population growth '!$J9)</f>
        <v>298089.75707028876</v>
      </c>
      <c r="Q11" s="9">
        <f>+L11*Parameters!$P$27</f>
        <v>36.234495742669054</v>
      </c>
      <c r="R11" s="8">
        <f>+P11*Q11/100</f>
        <v>108011.32033496631</v>
      </c>
      <c r="S11" s="8">
        <f>+D11*E11/100*(1+'Population growth '!J9)^3</f>
        <v>59188.650709392416</v>
      </c>
      <c r="T11" s="8">
        <f>+(R11-S11)-D11*(100-E11)/100</f>
        <v>19859.559625573893</v>
      </c>
      <c r="U11" s="7">
        <f>+P11*(1+'Population growth '!$J9)</f>
        <v>298738.4895570533</v>
      </c>
      <c r="V11" s="9">
        <f>+Q11*Parameters!$P$27</f>
        <v>38.74575260643999</v>
      </c>
      <c r="W11" s="8">
        <f>+U11*V11/100</f>
        <v>115748.47610399146</v>
      </c>
      <c r="X11" s="8">
        <f>+D11*E11/100*(1+'Population growth '!J9)^4</f>
        <v>59317.46291998402</v>
      </c>
      <c r="Y11" s="8">
        <f>+(W11-X11)-D11*(100-E11)/100</f>
        <v>27467.90318400744</v>
      </c>
      <c r="Z11" s="7">
        <f>+U11*(1+'Population growth '!$J9)</f>
        <v>299388.63387978135</v>
      </c>
      <c r="AA11" s="9">
        <f>+V11*Parameters!$P$27</f>
        <v>41.431053869245034</v>
      </c>
      <c r="AB11" s="8">
        <f>+Z11*AA11/100</f>
        <v>124039.866181129</v>
      </c>
      <c r="AC11" s="8">
        <f>+D11*E11/100*(1+'Population growth '!J9)^5</f>
        <v>59446.55546448085</v>
      </c>
      <c r="AD11" s="8">
        <f>+(AB11-AC11)-D11*(100-E11)/100</f>
        <v>35630.20071664814</v>
      </c>
      <c r="AE11" s="73">
        <f>+Z11*(1+'Population growth '!$J9)</f>
        <v>300040.1931110503</v>
      </c>
      <c r="AF11" s="74">
        <f>+AA11*Parameters!$P$27</f>
        <v>44.302461798896026</v>
      </c>
      <c r="AG11" s="75">
        <f>+AE11*AF11/100</f>
        <v>132925.1919343569</v>
      </c>
      <c r="AH11" s="75">
        <f>+D11*E11/100*(1+'Population growth '!J9)^6</f>
        <v>59575.92895297332</v>
      </c>
      <c r="AI11" s="75">
        <f>+(AG11-AH11)-D11*(100-E11)/100</f>
        <v>44386.15298138358</v>
      </c>
      <c r="AJ11" s="7">
        <f>+AE11*(1+'Population growth '!$K9)</f>
        <v>300040.1931110503</v>
      </c>
      <c r="AK11" s="9">
        <f>+AF11*Parameters!$Q$27</f>
        <v>44.302461798896026</v>
      </c>
      <c r="AL11" s="8">
        <f>+AJ11*AK11/100</f>
        <v>132925.1919343569</v>
      </c>
      <c r="AM11" s="8">
        <f>+D11*E11/100*(1+'Population growth '!J9)^7</f>
        <v>59705.583996879635</v>
      </c>
      <c r="AN11" s="8">
        <f>+(AL11-AM11)-D11*(100-E11)/100</f>
        <v>44256.49793747727</v>
      </c>
      <c r="AO11" s="7">
        <f>+AJ11*(1+'Population growth '!$K9)</f>
        <v>300040.1931110503</v>
      </c>
      <c r="AP11" s="9">
        <f>+AK11*Parameters!$Q$27</f>
        <v>44.302461798896026</v>
      </c>
      <c r="AQ11" s="8">
        <f>+AO11*AP11/100</f>
        <v>132925.1919343569</v>
      </c>
      <c r="AR11" s="8">
        <f>+D11*E11/100*(1+'Population growth '!J9)^8</f>
        <v>59835.52120894857</v>
      </c>
      <c r="AS11" s="8">
        <f>+(AQ11-AR11)-D11*(100-E11)/100</f>
        <v>44126.56072540833</v>
      </c>
      <c r="AT11" s="7">
        <f>+AO11*(1+'Population growth '!$K9)</f>
        <v>300040.1931110503</v>
      </c>
      <c r="AU11" s="9">
        <f>+AP11*Parameters!$Q$27</f>
        <v>44.302461798896026</v>
      </c>
      <c r="AV11" s="8">
        <f>+AT11*AU11/100</f>
        <v>132925.1919343569</v>
      </c>
      <c r="AW11" s="8">
        <f>+D11*E11/100*(1+'Population growth '!J9)^9</f>
        <v>59965.7412032625</v>
      </c>
      <c r="AX11" s="8">
        <f>+(AV11-AW11)-D11*(100-E11)/100</f>
        <v>43996.3407310944</v>
      </c>
      <c r="AY11" s="7">
        <f>+AT11*(1+'Population growth '!$K9)</f>
        <v>300040.1931110503</v>
      </c>
      <c r="AZ11" s="9">
        <f>+AU11*Parameters!$Q$27</f>
        <v>44.302461798896026</v>
      </c>
      <c r="BA11" s="8">
        <f>+AY11*AZ11/100</f>
        <v>132925.1919343569</v>
      </c>
      <c r="BB11" s="8">
        <f>+D11*E11/100*(1+'Population growth '!J9)^10</f>
        <v>60096.24459524016</v>
      </c>
      <c r="BC11" s="8">
        <f>+(BA11-BB11)-D11*(100-E11)/100</f>
        <v>43865.83733911674</v>
      </c>
      <c r="BD11" s="73">
        <f>+AY11*(1+'Population growth '!$K9)</f>
        <v>300040.1931110503</v>
      </c>
      <c r="BE11" s="74">
        <f>+AZ11*Parameters!$Q$27</f>
        <v>44.302461798896026</v>
      </c>
      <c r="BF11" s="75">
        <f>+BD11*BE11/100</f>
        <v>132925.1919343569</v>
      </c>
      <c r="BG11" s="75">
        <f>+D11*E11/100*(1+'Population growth '!J9)^11</f>
        <v>60227.032001639665</v>
      </c>
      <c r="BH11" s="81">
        <f>+(BF11-BG11)-D11*(100-E11)/100</f>
        <v>43735.049932717244</v>
      </c>
      <c r="BI11" s="13"/>
    </row>
    <row r="12" spans="1:61" ht="12.75">
      <c r="A12" s="6" t="s">
        <v>7</v>
      </c>
      <c r="B12" s="7">
        <v>87752</v>
      </c>
      <c r="C12" s="11">
        <f t="shared" si="0"/>
        <v>70.58414623028536</v>
      </c>
      <c r="D12" s="12">
        <v>61939</v>
      </c>
      <c r="E12" s="33">
        <v>33.2</v>
      </c>
      <c r="F12" s="7">
        <f>+B12*(1+'Population growth '!J10)</f>
        <v>89635.60905452936</v>
      </c>
      <c r="G12" s="9">
        <f>+C12*Parameters!$P$28</f>
        <v>71.3938973144101</v>
      </c>
      <c r="H12" s="8">
        <f>+F12*G12/100</f>
        <v>63994.35468553676</v>
      </c>
      <c r="I12" s="8">
        <f>+D12*E12/100*(1+'Population growth '!J10)</f>
        <v>21005.15175065936</v>
      </c>
      <c r="J12" s="8">
        <f>+(H12-I12)-D12*(100-E12)/100</f>
        <v>1613.9509348774009</v>
      </c>
      <c r="K12" s="7">
        <f>+F12*(1+'Population growth '!$J10)</f>
        <v>91559.6500430352</v>
      </c>
      <c r="L12" s="9">
        <f>+G12*Parameters!$P$28</f>
        <v>72.21293797492359</v>
      </c>
      <c r="M12" s="8">
        <f>+K12*L12/100</f>
        <v>66117.9132956341</v>
      </c>
      <c r="N12" s="8">
        <f>+D12*E12/100*(1+'Population growth '!J10)^2</f>
        <v>21456.03029507208</v>
      </c>
      <c r="O12" s="8">
        <f>+(M12-N12)-D12*(100-E12)/100</f>
        <v>3286.6310005620253</v>
      </c>
      <c r="P12" s="7">
        <f>+K12*(1+'Population growth '!$J10)</f>
        <v>93524.99084268193</v>
      </c>
      <c r="Q12" s="9">
        <f>+L12*Parameters!$P$28</f>
        <v>73.0413747831305</v>
      </c>
      <c r="R12" s="8">
        <f>+P12*Q12/100</f>
        <v>68311.93907729178</v>
      </c>
      <c r="S12" s="8">
        <f>+D12*E12/100*(1+'Population growth '!J10)^3</f>
        <v>21916.587011022188</v>
      </c>
      <c r="T12" s="8">
        <f>+(R12-S12)-D12*(100-E12)/100</f>
        <v>5020.100066269595</v>
      </c>
      <c r="U12" s="7">
        <f>+P12*(1+'Population growth '!$J10)</f>
        <v>95532.51795973966</v>
      </c>
      <c r="V12" s="9">
        <f>+Q12*Parameters!$P$28</f>
        <v>73.8793155329362</v>
      </c>
      <c r="W12" s="8">
        <f>+U12*V12/100</f>
        <v>70578.77038003501</v>
      </c>
      <c r="X12" s="8">
        <f>+D12*E12/100*(1+'Population growth '!J10)^4</f>
        <v>22387.02964182652</v>
      </c>
      <c r="Y12" s="8">
        <f>+(W12-X12)-D12*(100-E12)/100</f>
        <v>6816.488738208493</v>
      </c>
      <c r="Z12" s="7">
        <f>+U12*(1+'Population growth '!$J10)</f>
        <v>97583.13692946063</v>
      </c>
      <c r="AA12" s="9">
        <f>+V12*Parameters!$P$28</f>
        <v>74.72686925487271</v>
      </c>
      <c r="AB12" s="8">
        <f>+Z12*AA12/100</f>
        <v>72920.82314808146</v>
      </c>
      <c r="AC12" s="8">
        <f>+D12*E12/100*(1+'Population growth '!J10)^5</f>
        <v>22867.570390041503</v>
      </c>
      <c r="AD12" s="8">
        <f>+(AB12-AC12)-D12*(100-E12)/100</f>
        <v>8678.000758039954</v>
      </c>
      <c r="AE12" s="73">
        <f>+Z12*(1+'Population growth '!$J10)</f>
        <v>99677.77272453891</v>
      </c>
      <c r="AF12" s="74">
        <f>+AA12*Parameters!$P$28</f>
        <v>75.58414623028533</v>
      </c>
      <c r="AG12" s="75">
        <f>+AE12*AF12/100</f>
        <v>75340.59349520695</v>
      </c>
      <c r="AH12" s="75">
        <f>+D12*E12/100*(1+'Population growth '!J10)^6</f>
        <v>23358.426013181368</v>
      </c>
      <c r="AI12" s="75">
        <f>+(AG12-AH12)-D12*(100-E12)/100</f>
        <v>10606.915482025586</v>
      </c>
      <c r="AJ12" s="7">
        <f>+AE12*(1+'Population growth '!$K10)</f>
        <v>99677.77272453891</v>
      </c>
      <c r="AK12" s="9">
        <f>+AF12*Parameters!$Q$28</f>
        <v>77.86257908299994</v>
      </c>
      <c r="AL12" s="8">
        <f>+AJ12*AK12/100</f>
        <v>77611.68461581707</v>
      </c>
      <c r="AM12" s="8">
        <f>+D12*E12/100*(1+'Population growth '!J10)^7</f>
        <v>23859.81792149095</v>
      </c>
      <c r="AN12" s="8">
        <f>+(AL12-AM12)-D12*(100-E12)/100</f>
        <v>12376.61469432612</v>
      </c>
      <c r="AO12" s="7">
        <f>+AJ12*(1+'Population growth '!$K10)</f>
        <v>99677.77272453891</v>
      </c>
      <c r="AP12" s="9">
        <f>+AK12*Parameters!$Q$28</f>
        <v>80.20969374960332</v>
      </c>
      <c r="AQ12" s="8">
        <f>+AO12*AP12/100</f>
        <v>79951.23623877829</v>
      </c>
      <c r="AR12" s="8">
        <f>+D12*E12/100*(1+'Population growth '!J10)^8</f>
        <v>24371.972277817214</v>
      </c>
      <c r="AS12" s="8">
        <f>+(AQ12-AR12)-D12*(100-E12)/100</f>
        <v>14204.011960961077</v>
      </c>
      <c r="AT12" s="7">
        <f>+AO12*(1+'Population growth '!$K10)</f>
        <v>99677.77272453891</v>
      </c>
      <c r="AU12" s="9">
        <f>+AP12*Parameters!$Q$28</f>
        <v>82.62756059681854</v>
      </c>
      <c r="AV12" s="8">
        <f>+AT12*AU12/100</f>
        <v>82361.31205952745</v>
      </c>
      <c r="AW12" s="8">
        <f>+D12*E12/100*(1+'Population growth '!J10)^9</f>
        <v>24895.120099624517</v>
      </c>
      <c r="AX12" s="8">
        <f>+(AV12-AW12)-D12*(100-E12)/100</f>
        <v>16090.939959902935</v>
      </c>
      <c r="AY12" s="7">
        <f>+AT12*(1+'Population growth '!$K10)</f>
        <v>99677.77272453891</v>
      </c>
      <c r="AZ12" s="9">
        <f>+AU12*Parameters!$Q$28</f>
        <v>85.11831240117014</v>
      </c>
      <c r="BA12" s="8">
        <f>+AY12*AZ12/100</f>
        <v>84844.0379822014</v>
      </c>
      <c r="BB12" s="8">
        <f>+D12*E12/100*(1+'Population growth '!J10)^10</f>
        <v>25429.497363199687</v>
      </c>
      <c r="BC12" s="8">
        <f>+(BA12-BB12)-D12*(100-E12)/100</f>
        <v>18039.28861900171</v>
      </c>
      <c r="BD12" s="73">
        <f>+AY12*(1+'Population growth '!$K10)</f>
        <v>99677.77272453891</v>
      </c>
      <c r="BE12" s="74">
        <f>+AZ12*Parameters!$Q$28</f>
        <v>87.6841462302853</v>
      </c>
      <c r="BF12" s="75">
        <f>+BD12*BE12/100</f>
        <v>87401.60399487613</v>
      </c>
      <c r="BG12" s="75">
        <f>+D12*E12/100*(1+'Population growth '!J10)^11</f>
        <v>25975.345110093815</v>
      </c>
      <c r="BH12" s="81">
        <f>+(BF12-BG12)-D12*(100-E12)/100</f>
        <v>20051.00688478232</v>
      </c>
      <c r="BI12" s="13"/>
    </row>
    <row r="13" spans="1:61" ht="12.75">
      <c r="A13" s="6" t="s">
        <v>8</v>
      </c>
      <c r="B13" s="7">
        <v>207032</v>
      </c>
      <c r="C13" s="11">
        <f t="shared" si="0"/>
        <v>74.48800185478574</v>
      </c>
      <c r="D13" s="12">
        <v>154214</v>
      </c>
      <c r="E13" s="33">
        <v>76.3</v>
      </c>
      <c r="F13" s="7">
        <f>+B13*(1+'Population growth '!J11)</f>
        <v>207288.54601661672</v>
      </c>
      <c r="G13" s="9">
        <f>+C13*Parameters!$P$29</f>
        <v>76.8008580568583</v>
      </c>
      <c r="H13" s="8">
        <f>+F13*G13/100</f>
        <v>159199.3819943472</v>
      </c>
      <c r="I13" s="8">
        <f>+D13*E13/100*(1+'Population growth '!J11)</f>
        <v>117811.08824923288</v>
      </c>
      <c r="J13" s="8">
        <f>+(H13-I13)-D13*(100-E13)/100</f>
        <v>4839.575745114322</v>
      </c>
      <c r="K13" s="7">
        <f>+F13*(1+'Population growth '!$J11)</f>
        <v>207545.40993509712</v>
      </c>
      <c r="L13" s="9">
        <f>+G13*Parameters!$P$29</f>
        <v>79.18552856027156</v>
      </c>
      <c r="M13" s="8">
        <f>+K13*L13/100</f>
        <v>164345.92985968903</v>
      </c>
      <c r="N13" s="8">
        <f>+D13*E13/100*(1+'Population growth '!J11)^2</f>
        <v>117957.07517590905</v>
      </c>
      <c r="O13" s="8">
        <f>+(M13-N13)-D13*(100-E13)/100</f>
        <v>9840.13668377998</v>
      </c>
      <c r="P13" s="7">
        <f>+K13*(1+'Population growth '!$J11)</f>
        <v>207802.59214937285</v>
      </c>
      <c r="Q13" s="9">
        <f>+L13*Parameters!$P$29</f>
        <v>81.64424320269221</v>
      </c>
      <c r="R13" s="8">
        <f>+P13*Q13/100</f>
        <v>169658.85371593255</v>
      </c>
      <c r="S13" s="8">
        <f>+D13*E13/100*(1+'Population growth '!J11)^3</f>
        <v>118103.243003917</v>
      </c>
      <c r="T13" s="8">
        <f>+(R13-S13)-D13*(100-E13)/100</f>
        <v>15006.89271201555</v>
      </c>
      <c r="U13" s="7">
        <f>+P13*(1+'Population growth '!$J11)</f>
        <v>208060.0930538637</v>
      </c>
      <c r="V13" s="9">
        <f>+Q13*Parameters!$P$29</f>
        <v>84.1793010583586</v>
      </c>
      <c r="W13" s="8">
        <f>+U13*V13/100</f>
        <v>175143.53211411298</v>
      </c>
      <c r="X13" s="8">
        <f>+D13*E13/100*(1+'Population growth '!J11)^4</f>
        <v>118249.5919574226</v>
      </c>
      <c r="Y13" s="8">
        <f>+(W13-X13)-D13*(100-E13)/100</f>
        <v>20345.222156690383</v>
      </c>
      <c r="Z13" s="7">
        <f>+U13*(1+'Population growth '!$J11)</f>
        <v>208317.91304347824</v>
      </c>
      <c r="AA13" s="9">
        <f>+V13*Parameters!$P$29</f>
        <v>86.79307258787976</v>
      </c>
      <c r="AB13" s="8">
        <f>+Z13*AA13/100</f>
        <v>180805.5174813823</v>
      </c>
      <c r="AC13" s="8">
        <f>+D13*E13/100*(1+'Population growth '!J11)^5</f>
        <v>118396.12226086954</v>
      </c>
      <c r="AD13" s="8">
        <f>+(AB13-AC13)-D13*(100-E13)/100</f>
        <v>25860.677220512756</v>
      </c>
      <c r="AE13" s="73">
        <f>+Z13*(1+'Population growth '!$J11)</f>
        <v>208576.05251361433</v>
      </c>
      <c r="AF13" s="74">
        <f>+AA13*Parameters!$P$29</f>
        <v>89.48800185478578</v>
      </c>
      <c r="AG13" s="75">
        <f>+AE13*AF13/100</f>
        <v>186650.54174202215</v>
      </c>
      <c r="AH13" s="75">
        <f>+D13*E13/100*(1+'Population growth '!J11)^6</f>
        <v>118542.83413897966</v>
      </c>
      <c r="AI13" s="75">
        <f>+(AG13-AH13)-D13*(100-E13)/100</f>
        <v>31558.989603042493</v>
      </c>
      <c r="AJ13" s="7">
        <f>+AE13*(1+'Population growth '!$K11)</f>
        <v>208704.64450561473</v>
      </c>
      <c r="AK13" s="9">
        <f>+AF13*Parameters!$Q$29</f>
        <v>89.48800185478578</v>
      </c>
      <c r="AL13" s="8">
        <f>+AJ13*AK13/100</f>
        <v>186765.61614620857</v>
      </c>
      <c r="AM13" s="8">
        <f>+D13*E13/100*(1+'Population growth '!J11)^7</f>
        <v>118689.72781675322</v>
      </c>
      <c r="AN13" s="8">
        <f>+(AL13-AM13)-D13*(100-E13)/100</f>
        <v>31527.17032945535</v>
      </c>
      <c r="AO13" s="7">
        <f>+AJ13*(1+'Population growth '!$K11)</f>
        <v>208833.3157775718</v>
      </c>
      <c r="AP13" s="9">
        <f>+AK13*Parameters!$Q$29</f>
        <v>89.48800185478578</v>
      </c>
      <c r="AQ13" s="8">
        <f>+AO13*AP13/100</f>
        <v>186880.76149644412</v>
      </c>
      <c r="AR13" s="8">
        <f>+D13*E13/100*(1+'Population growth '!J11)^8</f>
        <v>118836.80351946926</v>
      </c>
      <c r="AS13" s="8">
        <f>+(AQ13-AR13)-D13*(100-E13)/100</f>
        <v>31495.23997697485</v>
      </c>
      <c r="AT13" s="7">
        <f>+AO13*(1+'Population growth '!$K11)</f>
        <v>208962.0663783635</v>
      </c>
      <c r="AU13" s="9">
        <f>+AP13*Parameters!$Q$29</f>
        <v>89.48800185478578</v>
      </c>
      <c r="AV13" s="8">
        <f>+AT13*AU13/100</f>
        <v>186995.97783646864</v>
      </c>
      <c r="AW13" s="8">
        <f>+D13*E13/100*(1+'Population growth '!J11)^9</f>
        <v>118984.06147268608</v>
      </c>
      <c r="AX13" s="8">
        <f>+(AV13-AW13)-D13*(100-E13)/100</f>
        <v>31463.198363782554</v>
      </c>
      <c r="AY13" s="7">
        <f>+AT13*(1+'Population growth '!$K11)</f>
        <v>209090.89635689787</v>
      </c>
      <c r="AZ13" s="9">
        <f>+AU13*Parameters!$Q$29</f>
        <v>89.48800185478578</v>
      </c>
      <c r="BA13" s="8">
        <f>+AY13*AZ13/100</f>
        <v>187111.26521004896</v>
      </c>
      <c r="BB13" s="8">
        <f>+D13*E13/100*(1+'Population growth '!J11)^10</f>
        <v>119131.50190224139</v>
      </c>
      <c r="BC13" s="8">
        <f>+(BA13-BB13)-D13*(100-E13)/100</f>
        <v>31431.045307807573</v>
      </c>
      <c r="BD13" s="73">
        <f>+AY13*(1+'Population growth '!$K11)</f>
        <v>209219.80576211316</v>
      </c>
      <c r="BE13" s="74">
        <f>+AZ13*Parameters!$Q$29</f>
        <v>89.48800185478578</v>
      </c>
      <c r="BF13" s="75">
        <f>+BD13*BE13/100</f>
        <v>187226.623660979</v>
      </c>
      <c r="BG13" s="75">
        <f>+D13*E13/100*(1+'Population growth '!J11)^11</f>
        <v>119279.12503425284</v>
      </c>
      <c r="BH13" s="81">
        <f>+(BF13-BG13)-D13*(100-E13)/100</f>
        <v>31398.78062672617</v>
      </c>
      <c r="BI13" s="13"/>
    </row>
    <row r="14" spans="1:61" ht="12.75">
      <c r="A14" s="6" t="s">
        <v>9</v>
      </c>
      <c r="B14" s="7">
        <v>230923</v>
      </c>
      <c r="C14" s="8" t="s">
        <v>0</v>
      </c>
      <c r="D14" s="12" t="s">
        <v>0</v>
      </c>
      <c r="E14" s="33">
        <v>15.4</v>
      </c>
      <c r="F14" s="7">
        <f>+B14*(1+'Population growth '!J12)</f>
        <v>234649.48867822348</v>
      </c>
      <c r="G14" s="9" t="s">
        <v>101</v>
      </c>
      <c r="H14" s="10" t="s">
        <v>34</v>
      </c>
      <c r="I14" s="8" t="s">
        <v>34</v>
      </c>
      <c r="J14" s="9" t="s">
        <v>34</v>
      </c>
      <c r="K14" s="7">
        <f>+F14*(1+'Population growth '!$J12)</f>
        <v>238436.1130634529</v>
      </c>
      <c r="L14" s="9" t="s">
        <v>101</v>
      </c>
      <c r="M14" s="10" t="s">
        <v>34</v>
      </c>
      <c r="N14" s="8" t="s">
        <v>34</v>
      </c>
      <c r="O14" s="9" t="s">
        <v>34</v>
      </c>
      <c r="P14" s="7">
        <f>+K14*(1+'Population growth '!$J12)</f>
        <v>242283.84358752618</v>
      </c>
      <c r="Q14" s="9" t="s">
        <v>101</v>
      </c>
      <c r="R14" s="10" t="s">
        <v>34</v>
      </c>
      <c r="S14" s="8" t="s">
        <v>34</v>
      </c>
      <c r="T14" s="9" t="s">
        <v>34</v>
      </c>
      <c r="U14" s="7">
        <f>+P14*(1+'Population growth '!$J12)</f>
        <v>246193.6663424938</v>
      </c>
      <c r="V14" s="9" t="s">
        <v>101</v>
      </c>
      <c r="W14" s="10" t="s">
        <v>34</v>
      </c>
      <c r="X14" s="8" t="s">
        <v>34</v>
      </c>
      <c r="Y14" s="9" t="s">
        <v>34</v>
      </c>
      <c r="Z14" s="7">
        <f>+U14*(1+'Population growth '!$J12)</f>
        <v>250166.5833333333</v>
      </c>
      <c r="AA14" s="9" t="s">
        <v>101</v>
      </c>
      <c r="AB14" s="10" t="s">
        <v>34</v>
      </c>
      <c r="AC14" s="8" t="s">
        <v>34</v>
      </c>
      <c r="AD14" s="9" t="s">
        <v>34</v>
      </c>
      <c r="AE14" s="73">
        <f>+Z14*(1+'Population growth '!$J12)</f>
        <v>254203.6127347421</v>
      </c>
      <c r="AF14" s="74" t="s">
        <v>101</v>
      </c>
      <c r="AG14" s="76" t="s">
        <v>34</v>
      </c>
      <c r="AH14" s="75" t="s">
        <v>34</v>
      </c>
      <c r="AI14" s="74" t="s">
        <v>34</v>
      </c>
      <c r="AJ14" s="7">
        <f>+AE14*(1+'Population growth '!$K12)</f>
        <v>255082.9774605925</v>
      </c>
      <c r="AK14" s="9" t="s">
        <v>101</v>
      </c>
      <c r="AL14" s="10" t="s">
        <v>34</v>
      </c>
      <c r="AM14" s="8" t="s">
        <v>34</v>
      </c>
      <c r="AN14" s="9" t="s">
        <v>34</v>
      </c>
      <c r="AO14" s="7">
        <f>+AJ14*(1+'Population growth '!$K12)</f>
        <v>255965.38416650268</v>
      </c>
      <c r="AP14" s="9" t="s">
        <v>101</v>
      </c>
      <c r="AQ14" s="10" t="s">
        <v>34</v>
      </c>
      <c r="AR14" s="8" t="s">
        <v>34</v>
      </c>
      <c r="AS14" s="9" t="s">
        <v>34</v>
      </c>
      <c r="AT14" s="7">
        <f>+AO14*(1+'Population growth '!$K12)</f>
        <v>256850.84337557238</v>
      </c>
      <c r="AU14" s="9" t="s">
        <v>101</v>
      </c>
      <c r="AV14" s="10" t="s">
        <v>34</v>
      </c>
      <c r="AW14" s="10" t="s">
        <v>34</v>
      </c>
      <c r="AX14" s="9" t="s">
        <v>34</v>
      </c>
      <c r="AY14" s="7">
        <f>+AT14*(1+'Population growth '!$K12)</f>
        <v>257739.36564730378</v>
      </c>
      <c r="AZ14" s="9" t="s">
        <v>101</v>
      </c>
      <c r="BA14" s="10" t="s">
        <v>34</v>
      </c>
      <c r="BB14" s="10" t="s">
        <v>34</v>
      </c>
      <c r="BC14" s="9" t="s">
        <v>34</v>
      </c>
      <c r="BD14" s="73">
        <f>+AY14*(1+'Population growth '!$K12)</f>
        <v>258630.96157772746</v>
      </c>
      <c r="BE14" s="74" t="s">
        <v>101</v>
      </c>
      <c r="BF14" s="76" t="s">
        <v>34</v>
      </c>
      <c r="BG14" s="75" t="s">
        <v>34</v>
      </c>
      <c r="BH14" s="74" t="s">
        <v>34</v>
      </c>
      <c r="BI14" s="13"/>
    </row>
    <row r="15" spans="1:61" ht="12.75">
      <c r="A15" s="6" t="s">
        <v>10</v>
      </c>
      <c r="B15" s="7">
        <v>272533</v>
      </c>
      <c r="C15" s="11">
        <f aca="true" t="shared" si="1" ref="C15:C22">+D15/B15*100</f>
        <v>1.7278641485618256</v>
      </c>
      <c r="D15" s="12">
        <v>4709</v>
      </c>
      <c r="E15" s="33">
        <v>77.8</v>
      </c>
      <c r="F15" s="7">
        <f>+B15*(1+'Population growth '!J13)</f>
        <v>278103.5578804897</v>
      </c>
      <c r="G15" s="9">
        <f>+C15*Parameters!$P$31</f>
        <v>2.2912396201091774</v>
      </c>
      <c r="H15" s="8">
        <f aca="true" t="shared" si="2" ref="H15:H22">+F15*G15/100</f>
        <v>6372.018903091038</v>
      </c>
      <c r="I15" s="8">
        <f>+D15*E15/100*(1+'Population growth '!J13)</f>
        <v>3738.485801198672</v>
      </c>
      <c r="J15" s="8">
        <f aca="true" t="shared" si="3" ref="J15:J25">+(H15-I15)-D15*(100-E15)/100</f>
        <v>1588.1351018923656</v>
      </c>
      <c r="K15" s="7">
        <f>+F15*(1+'Population growth '!$J13)</f>
        <v>283787.977623946</v>
      </c>
      <c r="L15" s="9">
        <f>+G15*Parameters!$P$31</f>
        <v>3.0383054137257615</v>
      </c>
      <c r="M15" s="8">
        <f aca="true" t="shared" si="4" ref="M15:M22">+K15*L15/100</f>
        <v>8622.345487651204</v>
      </c>
      <c r="N15" s="8">
        <f>+D15*E15/100*(1+'Population growth '!J13)^2</f>
        <v>3814.9002227218125</v>
      </c>
      <c r="O15" s="8">
        <f aca="true" t="shared" si="5" ref="O15:O22">+(M15-N15)-D15*(100-E15)/100</f>
        <v>3762.0472649293915</v>
      </c>
      <c r="P15" s="7">
        <f>+K15*(1+'Population growth '!$J13)</f>
        <v>289588.5865598961</v>
      </c>
      <c r="Q15" s="9">
        <f>+L15*Parameters!$P$31</f>
        <v>4.028954329375379</v>
      </c>
      <c r="R15" s="8">
        <f aca="true" t="shared" si="6" ref="R15:R22">+P15*Q15/100</f>
        <v>11667.391895581903</v>
      </c>
      <c r="S15" s="8">
        <f>+D15*E15/100*(1+'Population growth '!J13)^3</f>
        <v>3892.8765503554005</v>
      </c>
      <c r="T15" s="8">
        <f aca="true" t="shared" si="7" ref="T15:T22">+(R15-S15)-D15*(100-E15)/100</f>
        <v>6729.117345226502</v>
      </c>
      <c r="U15" s="7">
        <f>+P15*(1+'Population growth '!$J13)</f>
        <v>295507.7595883407</v>
      </c>
      <c r="V15" s="9">
        <f>+Q15*Parameters!$P$31</f>
        <v>5.3426074004480455</v>
      </c>
      <c r="W15" s="8">
        <f aca="true" t="shared" si="8" ref="W15:W22">+U15*V15/100</f>
        <v>15787.81943266491</v>
      </c>
      <c r="X15" s="8">
        <f>+D15*E15/100*(1+'Population growth '!J13)^4</f>
        <v>3972.4467093649732</v>
      </c>
      <c r="Y15" s="8">
        <f aca="true" t="shared" si="9" ref="Y15:Y22">+(W15-X15)-D15*(100-E15)/100</f>
        <v>10769.974723299936</v>
      </c>
      <c r="Z15" s="7">
        <f>+U15*(1+'Population growth '!$J13)</f>
        <v>301547.9201520914</v>
      </c>
      <c r="AA15" s="9">
        <f>+V15*Parameters!$P$31</f>
        <v>7.084581134913832</v>
      </c>
      <c r="AB15" s="8">
        <f aca="true" t="shared" si="10" ref="AB15:AB22">+Z15*AA15/100</f>
        <v>21363.407063820097</v>
      </c>
      <c r="AC15" s="8">
        <f>+D15*E15/100*(1+'Population growth '!J13)^5</f>
        <v>4053.643277566542</v>
      </c>
      <c r="AD15" s="8">
        <f aca="true" t="shared" si="11" ref="AD15:AD22">+(AB15-AC15)-D15*(100-E15)/100</f>
        <v>16264.365786253555</v>
      </c>
      <c r="AE15" s="73">
        <f>+Z15*(1+'Population growth '!$J13)</f>
        <v>307711.541228983</v>
      </c>
      <c r="AF15" s="74">
        <f>+AA15*Parameters!$P$31</f>
        <v>9.394530815228494</v>
      </c>
      <c r="AG15" s="75">
        <f aca="true" t="shared" si="12" ref="AG15:AG22">+AE15*AF15/100</f>
        <v>28908.055562771344</v>
      </c>
      <c r="AH15" s="75">
        <f>+D15*E15/100*(1+'Population growth '!J13)^6</f>
        <v>4136.499498664693</v>
      </c>
      <c r="AI15" s="75">
        <f aca="true" t="shared" si="13" ref="AI15:AI22">+(AG15-AH15)-D15*(100-E15)/100</f>
        <v>23726.15806410665</v>
      </c>
      <c r="AJ15" s="7">
        <f>+AE15*(1+'Population growth '!$K13)</f>
        <v>311124.5000251215</v>
      </c>
      <c r="AK15" s="9">
        <f>+AF15*Parameters!$Q$31</f>
        <v>13.152438034622978</v>
      </c>
      <c r="AL15" s="8">
        <f aca="true" t="shared" si="14" ref="AL15:AL22">+AJ15*AK15/100</f>
        <v>40920.45707633466</v>
      </c>
      <c r="AM15" s="8">
        <f>+D15*E15/100*(1+'Population growth '!J13)^7</f>
        <v>4221.0492958633</v>
      </c>
      <c r="AN15" s="8">
        <f aca="true" t="shared" si="15" ref="AN15:AN22">+(AL15-AM15)-D15*(100-E15)/100</f>
        <v>35654.00978047136</v>
      </c>
      <c r="AO15" s="7">
        <f>+AJ15*(1+'Population growth '!$K13)</f>
        <v>314575.3133901774</v>
      </c>
      <c r="AP15" s="9">
        <f>+AK15*Parameters!$Q$31</f>
        <v>18.413546100054997</v>
      </c>
      <c r="AQ15" s="8">
        <f aca="true" t="shared" si="16" ref="AQ15:AQ22">+AO15*AP15/100</f>
        <v>57924.47035049279</v>
      </c>
      <c r="AR15" s="8">
        <f>+D15*E15/100*(1+'Population growth '!J13)^8</f>
        <v>4307.327285754457</v>
      </c>
      <c r="AS15" s="8">
        <f aca="true" t="shared" si="17" ref="AS15:AS22">+(AQ15-AR15)-D15*(100-E15)/100</f>
        <v>52571.74506473833</v>
      </c>
      <c r="AT15" s="7">
        <f>+AO15*(1+'Population growth '!$K13)</f>
        <v>318064.40118517843</v>
      </c>
      <c r="AU15" s="9">
        <f>+AP15*Parameters!$Q$31</f>
        <v>25.77915053363488</v>
      </c>
      <c r="AV15" s="8">
        <f aca="true" t="shared" si="18" ref="AV15:AV22">+AT15*AU15/100</f>
        <v>81994.3007754315</v>
      </c>
      <c r="AW15" s="8">
        <f>+D15*E15/100*(1+'Population growth '!J13)^9</f>
        <v>4395.368792491284</v>
      </c>
      <c r="AX15" s="8">
        <f aca="true" t="shared" si="19" ref="AX15:AX22">+(AV15-AW15)-D15*(100-E15)/100</f>
        <v>76553.53398294022</v>
      </c>
      <c r="AY15" s="7">
        <f>+AT15*(1+'Population growth '!$K13)</f>
        <v>321592.1879280087</v>
      </c>
      <c r="AZ15" s="9">
        <f>+AU15*Parameters!$Q$31</f>
        <v>36.091071139948575</v>
      </c>
      <c r="BA15" s="8">
        <f aca="true" t="shared" si="20" ref="BA15:BA22">+AY15*AZ15/100</f>
        <v>116066.06532561472</v>
      </c>
      <c r="BB15" s="8">
        <f>+D15*E15/100*(1+'Population growth '!J13)^10</f>
        <v>4485.209862250435</v>
      </c>
      <c r="BC15" s="8">
        <f aca="true" t="shared" si="21" ref="BC15:BC22">+(BA15-BB15)-D15*(100-E15)/100</f>
        <v>110535.45746336428</v>
      </c>
      <c r="BD15" s="73">
        <f>+AY15*(1+'Population growth '!$K13)</f>
        <v>325159.1028450593</v>
      </c>
      <c r="BE15" s="74">
        <f>+AZ15*Parameters!$Q$31</f>
        <v>50.52786414856185</v>
      </c>
      <c r="BF15" s="75">
        <f aca="true" t="shared" si="22" ref="BF15:BF22">+BD15*BE15/100</f>
        <v>164295.94975223404</v>
      </c>
      <c r="BG15" s="75">
        <f>+D15*E15/100*(1+'Population growth '!J13)^11</f>
        <v>4576.887277990213</v>
      </c>
      <c r="BH15" s="81">
        <f aca="true" t="shared" si="23" ref="BH15:BH22">+(BF15-BG15)-D15*(100-E15)/100</f>
        <v>158673.66447424385</v>
      </c>
      <c r="BI15" s="13"/>
    </row>
    <row r="16" spans="1:61" ht="12.75">
      <c r="A16" s="6" t="s">
        <v>11</v>
      </c>
      <c r="B16" s="7">
        <v>1281259</v>
      </c>
      <c r="C16" s="11">
        <f t="shared" si="1"/>
        <v>53.44610262249865</v>
      </c>
      <c r="D16" s="12">
        <v>684783</v>
      </c>
      <c r="E16" s="33">
        <v>100</v>
      </c>
      <c r="F16" s="7">
        <f>+B16*(1+'Population growth '!J14)</f>
        <v>1289348.9667103796</v>
      </c>
      <c r="G16" s="9">
        <f>+C16*Parameters!$P$32</f>
        <v>57.17598543108472</v>
      </c>
      <c r="H16" s="8">
        <f t="shared" si="2"/>
        <v>737197.977362168</v>
      </c>
      <c r="I16" s="8">
        <f>+D16*E16/100*(1+'Population growth '!J14)</f>
        <v>689106.7719101554</v>
      </c>
      <c r="J16" s="8">
        <f t="shared" si="3"/>
        <v>48091.2054520126</v>
      </c>
      <c r="K16" s="7">
        <f>+F16*(1+'Population growth '!$J14)</f>
        <v>1297490.014085461</v>
      </c>
      <c r="L16" s="9">
        <f>+G16*Parameters!$P$32</f>
        <v>61.16616833795952</v>
      </c>
      <c r="M16" s="8">
        <f t="shared" si="4"/>
        <v>793624.9261837277</v>
      </c>
      <c r="N16" s="8">
        <f>+D16*E16/100*(1+'Population growth '!J14)^2</f>
        <v>693457.8444447877</v>
      </c>
      <c r="O16" s="8">
        <f t="shared" si="5"/>
        <v>100167.08173893997</v>
      </c>
      <c r="P16" s="7">
        <f>+K16*(1+'Population growth '!$J14)</f>
        <v>1305682.4646524433</v>
      </c>
      <c r="Q16" s="9">
        <f>+L16*Parameters!$P$32</f>
        <v>65.43481709916587</v>
      </c>
      <c r="R16" s="8">
        <f t="shared" si="6"/>
        <v>854370.9326412072</v>
      </c>
      <c r="S16" s="8">
        <f>+D16*E16/100*(1+'Population growth '!J14)^3</f>
        <v>697836.3899821147</v>
      </c>
      <c r="T16" s="8">
        <f t="shared" si="7"/>
        <v>156534.54265909258</v>
      </c>
      <c r="U16" s="7">
        <f>+P16*(1+'Population growth '!$J14)</f>
        <v>1313926.6429749876</v>
      </c>
      <c r="V16" s="9">
        <f>+Q16*Parameters!$P$32</f>
        <v>70.00136521783844</v>
      </c>
      <c r="W16" s="8">
        <f t="shared" si="8"/>
        <v>919766.5880434052</v>
      </c>
      <c r="X16" s="8">
        <f>+D16*E16/100*(1+'Population growth '!J14)^4</f>
        <v>702242.5819887635</v>
      </c>
      <c r="Y16" s="8">
        <f t="shared" si="9"/>
        <v>217524.00605464168</v>
      </c>
      <c r="Z16" s="7">
        <f>+U16*(1+'Population growth '!$J14)</f>
        <v>1322222.875666074</v>
      </c>
      <c r="AA16" s="9">
        <f>+V16*Parameters!$P$32</f>
        <v>74.88660241741039</v>
      </c>
      <c r="AB16" s="8">
        <f t="shared" si="10"/>
        <v>990167.7879721033</v>
      </c>
      <c r="AC16" s="8">
        <f>+D16*E16/100*(1+'Population growth '!J14)^5</f>
        <v>706676.5950266429</v>
      </c>
      <c r="AD16" s="8">
        <f t="shared" si="11"/>
        <v>283491.19294546044</v>
      </c>
      <c r="AE16" s="73">
        <f>+Z16*(1+'Population growth '!$J14)</f>
        <v>1330571.4914009417</v>
      </c>
      <c r="AF16" s="74">
        <f>+AA16*Parameters!$P$32</f>
        <v>80.11276928916536</v>
      </c>
      <c r="AG16" s="75">
        <f t="shared" si="12"/>
        <v>1065957.6691334432</v>
      </c>
      <c r="AH16" s="75">
        <f>+D16*E16/100*(1+'Population growth '!J14)^6</f>
        <v>711138.6047598585</v>
      </c>
      <c r="AI16" s="75">
        <f t="shared" si="13"/>
        <v>354819.0643735847</v>
      </c>
      <c r="AJ16" s="7">
        <f>+AE16*(1+'Population growth '!$K14)</f>
        <v>1331105.4287684523</v>
      </c>
      <c r="AK16" s="9">
        <f>+AF16*Parameters!$Q$32</f>
        <v>80.11276928916536</v>
      </c>
      <c r="AL16" s="8">
        <f t="shared" si="14"/>
        <v>1066385.4211448254</v>
      </c>
      <c r="AM16" s="8">
        <f>+D16*E16/100*(1+'Population growth '!J14)^7</f>
        <v>715628.7879616725</v>
      </c>
      <c r="AN16" s="8">
        <f t="shared" si="15"/>
        <v>350756.6331831529</v>
      </c>
      <c r="AO16" s="7">
        <f>+AJ16*(1+'Population growth '!$K14)</f>
        <v>1331639.5803966126</v>
      </c>
      <c r="AP16" s="9">
        <f>+AK16*Parameters!$Q$32</f>
        <v>80.11276928916536</v>
      </c>
      <c r="AQ16" s="8">
        <f t="shared" si="16"/>
        <v>1066813.344806348</v>
      </c>
      <c r="AR16" s="8">
        <f>+D16*E16/100*(1+'Population growth '!J14)^8</f>
        <v>720147.3225215072</v>
      </c>
      <c r="AS16" s="8">
        <f t="shared" si="17"/>
        <v>346666.0222848408</v>
      </c>
      <c r="AT16" s="7">
        <f>+AO16*(1+'Population growth '!$K14)</f>
        <v>1332173.9463714021</v>
      </c>
      <c r="AU16" s="9">
        <f>+AP16*Parameters!$Q$32</f>
        <v>80.11276928916536</v>
      </c>
      <c r="AV16" s="8">
        <f t="shared" si="18"/>
        <v>1067241.4401868908</v>
      </c>
      <c r="AW16" s="8">
        <f>+D16*E16/100*(1+'Population growth '!J14)^9</f>
        <v>724694.387451992</v>
      </c>
      <c r="AX16" s="8">
        <f t="shared" si="19"/>
        <v>342547.05273489875</v>
      </c>
      <c r="AY16" s="7">
        <f>+AT16*(1+'Population growth '!$K14)</f>
        <v>1332708.5267788349</v>
      </c>
      <c r="AZ16" s="9">
        <f>+AU16*Parameters!$Q$32</f>
        <v>80.11276928916536</v>
      </c>
      <c r="BA16" s="8">
        <f t="shared" si="20"/>
        <v>1067669.7073553624</v>
      </c>
      <c r="BB16" s="8">
        <f>+D16*E16/100*(1+'Population growth '!J14)^10</f>
        <v>729270.1628960556</v>
      </c>
      <c r="BC16" s="8">
        <f t="shared" si="21"/>
        <v>338399.54445930675</v>
      </c>
      <c r="BD16" s="73">
        <f>+AY16*(1+'Population growth '!$K14)</f>
        <v>1333243.3217049593</v>
      </c>
      <c r="BE16" s="74">
        <f>+AZ16*Parameters!$Q$32</f>
        <v>80.11276928916536</v>
      </c>
      <c r="BF16" s="75">
        <f t="shared" si="22"/>
        <v>1068098.1463806988</v>
      </c>
      <c r="BG16" s="75">
        <f>+D16*E16/100*(1+'Population growth '!J14)^11</f>
        <v>733874.8301340633</v>
      </c>
      <c r="BH16" s="81">
        <f t="shared" si="23"/>
        <v>334223.3162466355</v>
      </c>
      <c r="BI16" s="13"/>
    </row>
    <row r="17" spans="1:61" ht="12.75">
      <c r="A17" s="6" t="s">
        <v>12</v>
      </c>
      <c r="B17" s="7">
        <v>119472</v>
      </c>
      <c r="C17" s="11">
        <f t="shared" si="1"/>
        <v>6.195593946698808</v>
      </c>
      <c r="D17" s="12">
        <v>7402</v>
      </c>
      <c r="E17" s="33">
        <v>100</v>
      </c>
      <c r="F17" s="7">
        <f>+B17*(1+'Population growth '!J15)</f>
        <v>121319.19140357687</v>
      </c>
      <c r="G17" s="9">
        <f>+C17*Parameters!$P$33</f>
        <v>7.3913742490793926</v>
      </c>
      <c r="H17" s="8">
        <f t="shared" si="2"/>
        <v>8967.155472595321</v>
      </c>
      <c r="I17" s="8">
        <f>+D17*E17/100*(1+'Population growth '!J15)</f>
        <v>7516.444478783949</v>
      </c>
      <c r="J17" s="8">
        <f t="shared" si="3"/>
        <v>1450.7109938113717</v>
      </c>
      <c r="K17" s="7">
        <f>+F17*(1+'Population growth '!$J15)</f>
        <v>123194.94277167637</v>
      </c>
      <c r="L17" s="9">
        <f>+G17*Parameters!$P$33</f>
        <v>8.817946069410132</v>
      </c>
      <c r="M17" s="8">
        <f t="shared" si="4"/>
        <v>10863.263613847099</v>
      </c>
      <c r="N17" s="8">
        <f>+D17*E17/100*(1+'Population growth '!J15)^2</f>
        <v>7632.658417001043</v>
      </c>
      <c r="O17" s="8">
        <f t="shared" si="5"/>
        <v>3230.605196846056</v>
      </c>
      <c r="P17" s="7">
        <f>+K17*(1+'Population growth '!$J15)</f>
        <v>125099.69567823176</v>
      </c>
      <c r="Q17" s="9">
        <f>+L17*Parameters!$P$33</f>
        <v>10.519853313165715</v>
      </c>
      <c r="R17" s="8">
        <f t="shared" si="6"/>
        <v>13160.30448056669</v>
      </c>
      <c r="S17" s="8">
        <f>+D17*E17/100*(1+'Population growth '!J15)^3</f>
        <v>7750.669172779158</v>
      </c>
      <c r="T17" s="8">
        <f t="shared" si="7"/>
        <v>5409.635307787533</v>
      </c>
      <c r="U17" s="7">
        <f>+P17*(1+'Population growth '!$J15)</f>
        <v>127033.89852447952</v>
      </c>
      <c r="V17" s="9">
        <f>+Q17*Parameters!$P$33</f>
        <v>12.55023708008759</v>
      </c>
      <c r="W17" s="8">
        <f t="shared" si="8"/>
        <v>15943.055436900071</v>
      </c>
      <c r="X17" s="8">
        <f>+D17*E17/100*(1+'Population growth '!J15)^4</f>
        <v>7870.504527238159</v>
      </c>
      <c r="Y17" s="8">
        <f t="shared" si="9"/>
        <v>8072.550909661912</v>
      </c>
      <c r="Z17" s="7">
        <f>+U17*(1+'Population growth '!$J15)</f>
        <v>128998.0066445183</v>
      </c>
      <c r="AA17" s="9">
        <f>+V17*Parameters!$P$33</f>
        <v>14.972494965237006</v>
      </c>
      <c r="AB17" s="8">
        <f t="shared" si="10"/>
        <v>19314.220050106604</v>
      </c>
      <c r="AC17" s="8">
        <f>+D17*E17/100*(1+'Population growth '!J15)^5</f>
        <v>7992.192691029903</v>
      </c>
      <c r="AD17" s="8">
        <f t="shared" si="11"/>
        <v>11322.027359076701</v>
      </c>
      <c r="AE17" s="73">
        <f>+Z17*(1+'Population growth '!$J15)</f>
        <v>130992.48241249997</v>
      </c>
      <c r="AF17" s="74">
        <f>+AA17*Parameters!$P$33</f>
        <v>17.862260613365475</v>
      </c>
      <c r="AG17" s="75">
        <f t="shared" si="12"/>
        <v>23398.21859243768</v>
      </c>
      <c r="AH17" s="75">
        <f>+D17*E17/100*(1+'Population growth '!J15)^6</f>
        <v>8115.76231097935</v>
      </c>
      <c r="AI17" s="75">
        <f t="shared" si="13"/>
        <v>15282.45628145833</v>
      </c>
      <c r="AJ17" s="7">
        <f>+AE17*(1+'Population growth '!$K15)</f>
        <v>132566.41728052188</v>
      </c>
      <c r="AK17" s="9">
        <f>+AF17*Parameters!$Q$33</f>
        <v>20.04575996333002</v>
      </c>
      <c r="AL17" s="8">
        <f t="shared" si="14"/>
        <v>26573.945800039866</v>
      </c>
      <c r="AM17" s="8">
        <f>+D17*E17/100*(1+'Population growth '!J15)^7</f>
        <v>8241.24247682837</v>
      </c>
      <c r="AN17" s="8">
        <f t="shared" si="15"/>
        <v>18332.703323211495</v>
      </c>
      <c r="AO17" s="7">
        <f>+AJ17*(1+'Population growth '!$K15)</f>
        <v>134159.26369921563</v>
      </c>
      <c r="AP17" s="9">
        <f>+AK17*Parameters!$Q$33</f>
        <v>22.496172304572287</v>
      </c>
      <c r="AQ17" s="8">
        <f t="shared" si="16"/>
        <v>30180.699124321047</v>
      </c>
      <c r="AR17" s="8">
        <f>+D17*E17/100*(1+'Population growth '!J15)^8</f>
        <v>8368.662728083811</v>
      </c>
      <c r="AS17" s="8">
        <f t="shared" si="17"/>
        <v>21812.036396237236</v>
      </c>
      <c r="AT17" s="7">
        <f>+AO17*(1+'Population growth '!$K15)</f>
        <v>135771.24889955253</v>
      </c>
      <c r="AU17" s="9">
        <f>+AP17*Parameters!$Q$33</f>
        <v>25.24612532938537</v>
      </c>
      <c r="AV17" s="8">
        <f t="shared" si="18"/>
        <v>34276.97965845279</v>
      </c>
      <c r="AW17" s="8">
        <f>+D17*E17/100*(1+'Population growth '!J15)^9</f>
        <v>8498.053060971437</v>
      </c>
      <c r="AX17" s="8">
        <f t="shared" si="19"/>
        <v>25778.92659748135</v>
      </c>
      <c r="AY17" s="7">
        <f>+AT17*(1+'Population growth '!$K15)</f>
        <v>137402.60284278842</v>
      </c>
      <c r="AZ17" s="9">
        <f>+AU17*Parameters!$Q$33</f>
        <v>28.332235169513282</v>
      </c>
      <c r="BA17" s="8">
        <f t="shared" si="20"/>
        <v>38929.22856645116</v>
      </c>
      <c r="BB17" s="8">
        <f>+D17*E17/100*(1+'Population growth '!J15)^10</f>
        <v>8629.443935497407</v>
      </c>
      <c r="BC17" s="8">
        <f t="shared" si="21"/>
        <v>30299.78463095375</v>
      </c>
      <c r="BD17" s="73">
        <f>+AY17*(1+'Population growth '!$K15)</f>
        <v>139053.55825326924</v>
      </c>
      <c r="BE17" s="74">
        <f>+AZ17*Parameters!$Q$33</f>
        <v>31.795593946698823</v>
      </c>
      <c r="BF17" s="75">
        <f t="shared" si="22"/>
        <v>44212.904750645794</v>
      </c>
      <c r="BG17" s="75">
        <f>+D17*E17/100*(1+'Population growth '!J15)^11</f>
        <v>8762.866282618901</v>
      </c>
      <c r="BH17" s="81">
        <f t="shared" si="23"/>
        <v>35450.03846802689</v>
      </c>
      <c r="BI17" s="13"/>
    </row>
    <row r="18" spans="1:61" ht="12.75">
      <c r="A18" s="6" t="s">
        <v>13</v>
      </c>
      <c r="B18" s="7">
        <v>234890</v>
      </c>
      <c r="C18" s="11">
        <f t="shared" si="1"/>
        <v>29.896973051215465</v>
      </c>
      <c r="D18" s="12">
        <v>70225</v>
      </c>
      <c r="E18" s="33">
        <v>99.9</v>
      </c>
      <c r="F18" s="7">
        <f>+B18*(1+'Population growth '!J16)</f>
        <v>238555.32146232913</v>
      </c>
      <c r="G18" s="9">
        <f>+C18*Parameters!$P$34</f>
        <v>31.66844376593485</v>
      </c>
      <c r="H18" s="8">
        <f t="shared" si="2"/>
        <v>75546.75782794281</v>
      </c>
      <c r="I18" s="8">
        <f>+D18*E18/100*(1+'Population growth '!J16)</f>
        <v>71249.49934966312</v>
      </c>
      <c r="J18" s="8">
        <f t="shared" si="3"/>
        <v>4227.033478279695</v>
      </c>
      <c r="K18" s="7">
        <f>+F18*(1+'Population growth '!$J16)</f>
        <v>242277.8381284652</v>
      </c>
      <c r="L18" s="9">
        <f>+G18*Parameters!$P$34</f>
        <v>33.54487856807983</v>
      </c>
      <c r="M18" s="8">
        <f t="shared" si="4"/>
        <v>81271.80659756267</v>
      </c>
      <c r="N18" s="8">
        <f>+D18*E18/100*(1+'Population growth '!J16)^2</f>
        <v>72361.30623436031</v>
      </c>
      <c r="O18" s="8">
        <f t="shared" si="5"/>
        <v>8840.275363202361</v>
      </c>
      <c r="P18" s="7">
        <f>+K18*(1+'Population growth '!$J16)</f>
        <v>246058.4424962074</v>
      </c>
      <c r="Q18" s="9">
        <f>+L18*Parameters!$P$34</f>
        <v>35.53249684336056</v>
      </c>
      <c r="R18" s="8">
        <f t="shared" si="6"/>
        <v>87430.70831278706</v>
      </c>
      <c r="S18" s="8">
        <f>+D18*E18/100*(1+'Population growth '!J16)^3</f>
        <v>73490.46221708828</v>
      </c>
      <c r="T18" s="8">
        <f t="shared" si="7"/>
        <v>13870.021095698781</v>
      </c>
      <c r="U18" s="7">
        <f>+P18*(1+'Population growth '!$J16)</f>
        <v>249898.0409902626</v>
      </c>
      <c r="V18" s="9">
        <f>+Q18*Parameters!$P$34</f>
        <v>37.63788649170535</v>
      </c>
      <c r="W18" s="8">
        <f t="shared" si="8"/>
        <v>94056.34101291036</v>
      </c>
      <c r="X18" s="8">
        <f>+D18*E18/100*(1+'Population growth '!J16)^4</f>
        <v>74637.23802040379</v>
      </c>
      <c r="Y18" s="8">
        <f t="shared" si="9"/>
        <v>19348.877992506572</v>
      </c>
      <c r="Z18" s="7">
        <f>+U18*(1+'Population growth '!$J16)</f>
        <v>253797.5541795666</v>
      </c>
      <c r="AA18" s="9">
        <f>+V18*Parameters!$P$34</f>
        <v>39.86802576265331</v>
      </c>
      <c r="AB18" s="8">
        <f t="shared" si="10"/>
        <v>101184.0742852936</v>
      </c>
      <c r="AC18" s="8">
        <f>+D18*E18/100*(1+'Population growth '!J16)^5</f>
        <v>75801.90859133126</v>
      </c>
      <c r="AD18" s="8">
        <f t="shared" si="11"/>
        <v>25311.94069396234</v>
      </c>
      <c r="AE18" s="73">
        <f>+Z18*(1+'Population growth '!$J16)</f>
        <v>257757.9169979965</v>
      </c>
      <c r="AF18" s="74">
        <f>+AA18*Parameters!$P$34</f>
        <v>42.23030638454881</v>
      </c>
      <c r="AG18" s="75">
        <f t="shared" si="12"/>
        <v>108851.95807868494</v>
      </c>
      <c r="AH18" s="75">
        <f>+D18*E18/100*(1+'Population growth '!J16)^6</f>
        <v>76984.75316728304</v>
      </c>
      <c r="AI18" s="75">
        <f t="shared" si="13"/>
        <v>31796.979911401908</v>
      </c>
      <c r="AJ18" s="7">
        <f>+AE18*(1+'Population growth '!$K16)</f>
        <v>260858.2464507345</v>
      </c>
      <c r="AK18" s="9">
        <f>+AF18*Parameters!$Q$34</f>
        <v>42.23030638454881</v>
      </c>
      <c r="AL18" s="8">
        <f t="shared" si="14"/>
        <v>110161.23670550661</v>
      </c>
      <c r="AM18" s="8">
        <f>+D18*E18/100*(1+'Population growth '!J16)^7</f>
        <v>78186.05534300853</v>
      </c>
      <c r="AN18" s="8">
        <f t="shared" si="15"/>
        <v>31904.95636249809</v>
      </c>
      <c r="AO18" s="7">
        <f>+AJ18*(1+'Population growth '!$K16)</f>
        <v>263995.8668733386</v>
      </c>
      <c r="AP18" s="9">
        <f>+AK18*Parameters!$Q$34</f>
        <v>42.23030638454881</v>
      </c>
      <c r="AQ18" s="8">
        <f t="shared" si="16"/>
        <v>111486.26342315647</v>
      </c>
      <c r="AR18" s="8">
        <f>+D18*E18/100*(1+'Population growth '!J16)^8</f>
        <v>79406.10313858764</v>
      </c>
      <c r="AS18" s="8">
        <f t="shared" si="17"/>
        <v>32009.935284568837</v>
      </c>
      <c r="AT18" s="7">
        <f>+AO18*(1+'Population growth '!$K16)</f>
        <v>267171.2268040866</v>
      </c>
      <c r="AU18" s="9">
        <f>+AP18*Parameters!$Q$34</f>
        <v>42.23030638454881</v>
      </c>
      <c r="AV18" s="8">
        <f t="shared" si="18"/>
        <v>112827.22765072357</v>
      </c>
      <c r="AW18" s="8">
        <f>+D18*E18/100*(1+'Population growth '!J16)^9</f>
        <v>80645.18906848584</v>
      </c>
      <c r="AX18" s="8">
        <f t="shared" si="19"/>
        <v>32111.813582237733</v>
      </c>
      <c r="AY18" s="7">
        <f>+AT18*(1+'Population growth '!$K16)</f>
        <v>270384.7801763048</v>
      </c>
      <c r="AZ18" s="9">
        <f>+AU18*Parameters!$Q$34</f>
        <v>42.23030638454881</v>
      </c>
      <c r="BA18" s="8">
        <f t="shared" si="20"/>
        <v>114184.32108564231</v>
      </c>
      <c r="BB18" s="8">
        <f>+D18*E18/100*(1+'Population growth '!J16)^10</f>
        <v>81903.61021168609</v>
      </c>
      <c r="BC18" s="8">
        <f t="shared" si="21"/>
        <v>32210.48587395623</v>
      </c>
      <c r="BD18" s="73">
        <f>+AY18*(1+'Population growth '!$K16)</f>
        <v>273636.9863832598</v>
      </c>
      <c r="BE18" s="74">
        <f>+AZ18*Parameters!$Q$34</f>
        <v>42.23030638454881</v>
      </c>
      <c r="BF18" s="75">
        <f t="shared" si="22"/>
        <v>115557.73773109673</v>
      </c>
      <c r="BG18" s="75">
        <f>+D18*E18/100*(1+'Population growth '!J16)^11</f>
        <v>83181.66828291574</v>
      </c>
      <c r="BH18" s="81">
        <f t="shared" si="23"/>
        <v>32305.844448180997</v>
      </c>
      <c r="BI18" s="13"/>
    </row>
    <row r="19" spans="1:61" ht="12.75">
      <c r="A19" s="6" t="s">
        <v>14</v>
      </c>
      <c r="B19" s="7">
        <v>36338</v>
      </c>
      <c r="C19" s="11">
        <f t="shared" si="1"/>
        <v>32.34080026418626</v>
      </c>
      <c r="D19" s="12">
        <v>11752</v>
      </c>
      <c r="E19" s="33">
        <v>92.9</v>
      </c>
      <c r="F19" s="7">
        <f>+B19*(1+'Population growth '!J17)</f>
        <v>36966.695661243575</v>
      </c>
      <c r="G19" s="9">
        <f>+C19*Parameters!$P$35</f>
        <v>33.17412785225702</v>
      </c>
      <c r="H19" s="8">
        <f t="shared" si="2"/>
        <v>12263.378881415692</v>
      </c>
      <c r="I19" s="8">
        <f>+D19*E19/100*(1+'Population growth '!J17)</f>
        <v>11106.497118299249</v>
      </c>
      <c r="J19" s="8">
        <f t="shared" si="3"/>
        <v>322.48976311644446</v>
      </c>
      <c r="K19" s="7">
        <f>+F19*(1+'Population growth '!$J17)</f>
        <v>37606.26859241027</v>
      </c>
      <c r="L19" s="9">
        <f>+G19*Parameters!$P$35</f>
        <v>34.02892784865928</v>
      </c>
      <c r="M19" s="8">
        <f t="shared" si="4"/>
        <v>12797.010005884305</v>
      </c>
      <c r="N19" s="8">
        <f>+D19*E19/100*(1+'Population growth '!J17)^2</f>
        <v>11298.654269212591</v>
      </c>
      <c r="O19" s="8">
        <f t="shared" si="5"/>
        <v>663.9637366717147</v>
      </c>
      <c r="P19" s="7">
        <f>+K19*(1+'Population growth '!$J17)</f>
        <v>38256.906984716086</v>
      </c>
      <c r="Q19" s="9">
        <f>+L19*Parameters!$P$35</f>
        <v>34.90575353439099</v>
      </c>
      <c r="R19" s="8">
        <f t="shared" si="6"/>
        <v>13353.861661966208</v>
      </c>
      <c r="S19" s="8">
        <f>+D19*E19/100*(1+'Population growth '!J17)^3</f>
        <v>11494.13599404459</v>
      </c>
      <c r="T19" s="8">
        <f t="shared" si="7"/>
        <v>1025.3336679216195</v>
      </c>
      <c r="U19" s="7">
        <f>+P19*(1+'Population growth '!$J17)</f>
        <v>38918.802285335</v>
      </c>
      <c r="V19" s="9">
        <f>+Q19*Parameters!$P$35</f>
        <v>35.805172446879006</v>
      </c>
      <c r="W19" s="8">
        <f t="shared" si="8"/>
        <v>13934.944272524084</v>
      </c>
      <c r="X19" s="8">
        <f>+D19*E19/100*(1+'Population growth '!J17)^4</f>
        <v>11692.999812339469</v>
      </c>
      <c r="Y19" s="8">
        <f t="shared" si="9"/>
        <v>1407.552460184616</v>
      </c>
      <c r="Z19" s="7">
        <f>+U19*(1+'Population growth '!$J17)</f>
        <v>39592.149253731346</v>
      </c>
      <c r="AA19" s="9">
        <f>+V19*Parameters!$P$35</f>
        <v>36.72776674732546</v>
      </c>
      <c r="AB19" s="8">
        <f t="shared" si="10"/>
        <v>14541.312228163406</v>
      </c>
      <c r="AC19" s="8">
        <f>+D19*E19/100*(1+'Population growth '!J17)^5</f>
        <v>11895.304238805971</v>
      </c>
      <c r="AD19" s="8">
        <f t="shared" si="11"/>
        <v>1811.6159893574354</v>
      </c>
      <c r="AE19" s="73">
        <f>+Z19*(1+'Population growth '!$J17)</f>
        <v>40277.14601896688</v>
      </c>
      <c r="AF19" s="74">
        <f>+AA19*Parameters!$P$35</f>
        <v>37.67413359751956</v>
      </c>
      <c r="AG19" s="75">
        <f t="shared" si="12"/>
        <v>15174.06580045361</v>
      </c>
      <c r="AH19" s="75">
        <f>+D19*E19/100*(1+'Population growth '!J17)^6</f>
        <v>12101.108800535007</v>
      </c>
      <c r="AI19" s="75">
        <f t="shared" si="13"/>
        <v>2238.564999918605</v>
      </c>
      <c r="AJ19" s="7">
        <f>+AE19*(1+'Population growth '!$K17)</f>
        <v>40277.14601896688</v>
      </c>
      <c r="AK19" s="9">
        <f>+AF19*Parameters!$Q$35</f>
        <v>38.70902729371631</v>
      </c>
      <c r="AL19" s="8">
        <f t="shared" si="14"/>
        <v>15590.891445611862</v>
      </c>
      <c r="AM19" s="8">
        <f>+D19*E19/100*(1+'Population growth '!J17)^7</f>
        <v>12310.47405451521</v>
      </c>
      <c r="AN19" s="8">
        <f t="shared" si="15"/>
        <v>2446.0253910966517</v>
      </c>
      <c r="AO19" s="7">
        <f>+AJ19*(1+'Population growth '!$K17)</f>
        <v>40277.14601896688</v>
      </c>
      <c r="AP19" s="9">
        <f>+AK19*Parameters!$Q$35</f>
        <v>39.77234911446848</v>
      </c>
      <c r="AQ19" s="8">
        <f t="shared" si="16"/>
        <v>16019.167128007752</v>
      </c>
      <c r="AR19" s="8">
        <f>+D19*E19/100*(1+'Population growth '!J17)^8</f>
        <v>12523.461605451568</v>
      </c>
      <c r="AS19" s="8">
        <f t="shared" si="17"/>
        <v>2661.313522556184</v>
      </c>
      <c r="AT19" s="7">
        <f>+AO19*(1+'Population growth '!$K17)</f>
        <v>40277.14601896688</v>
      </c>
      <c r="AU19" s="9">
        <f>+AP19*Parameters!$Q$35</f>
        <v>40.86487996922476</v>
      </c>
      <c r="AV19" s="8">
        <f t="shared" si="18"/>
        <v>16459.207375680202</v>
      </c>
      <c r="AW19" s="8">
        <f>+D19*E19/100*(1+'Population growth '!J17)^9</f>
        <v>12740.13412389226</v>
      </c>
      <c r="AX19" s="8">
        <f t="shared" si="19"/>
        <v>2884.681251787943</v>
      </c>
      <c r="AY19" s="7">
        <f>+AT19*(1+'Population growth '!$K17)</f>
        <v>40277.14601896688</v>
      </c>
      <c r="AZ19" s="9">
        <f>+AU19*Parameters!$Q$35</f>
        <v>41.98742221871055</v>
      </c>
      <c r="BA19" s="8">
        <f t="shared" si="20"/>
        <v>16911.335356630192</v>
      </c>
      <c r="BB19" s="8">
        <f>+D19*E19/100*(1+'Population growth '!J17)^10</f>
        <v>12960.555364669195</v>
      </c>
      <c r="BC19" s="8">
        <f t="shared" si="21"/>
        <v>3116.3879919609976</v>
      </c>
      <c r="BD19" s="73">
        <f>+AY19*(1+'Population growth '!$K17)</f>
        <v>40277.14601896688</v>
      </c>
      <c r="BE19" s="74">
        <f>+AZ19*Parameters!$Q$35</f>
        <v>43.14080026418619</v>
      </c>
      <c r="BF19" s="75">
        <f t="shared" si="22"/>
        <v>17375.88311615712</v>
      </c>
      <c r="BG19" s="75">
        <f>+D19*E19/100*(1+'Population growth '!J17)^11</f>
        <v>13184.790185657544</v>
      </c>
      <c r="BH19" s="81">
        <f t="shared" si="23"/>
        <v>3356.7009304995777</v>
      </c>
      <c r="BI19" s="13"/>
    </row>
    <row r="20" spans="1:61" ht="12.75">
      <c r="A20" s="6" t="s">
        <v>15</v>
      </c>
      <c r="B20" s="7">
        <v>1868281</v>
      </c>
      <c r="C20" s="11">
        <f t="shared" si="1"/>
        <v>5.142320668036553</v>
      </c>
      <c r="D20" s="12">
        <v>96073</v>
      </c>
      <c r="E20" s="33">
        <v>45.9</v>
      </c>
      <c r="F20" s="7">
        <f>+B20*(1+'Population growth '!J18)</f>
        <v>1885026.1911463027</v>
      </c>
      <c r="G20" s="9">
        <f>+C20*Parameters!$P$36</f>
        <v>5.789790112351845</v>
      </c>
      <c r="H20" s="8">
        <f t="shared" si="2"/>
        <v>109139.06003023124</v>
      </c>
      <c r="I20" s="8">
        <f>+D20*E20/100*(1+'Population growth '!J18)</f>
        <v>44492.74796417532</v>
      </c>
      <c r="J20" s="8">
        <f t="shared" si="3"/>
        <v>12670.81906605592</v>
      </c>
      <c r="K20" s="7">
        <f>+F20*(1+'Population growth '!$J18)</f>
        <v>1901921.4675455873</v>
      </c>
      <c r="L20" s="9">
        <f>+G20*Parameters!$P$36</f>
        <v>6.5187824153888245</v>
      </c>
      <c r="M20" s="8">
        <f t="shared" si="4"/>
        <v>123982.12218086682</v>
      </c>
      <c r="N20" s="8">
        <f>+D20*E20/100*(1+'Population growth '!J18)^2</f>
        <v>44891.53142837818</v>
      </c>
      <c r="O20" s="8">
        <f t="shared" si="5"/>
        <v>27115.097752488648</v>
      </c>
      <c r="P20" s="7">
        <f>+K20*(1+'Population growth '!$J18)</f>
        <v>1918968.1743949894</v>
      </c>
      <c r="Q20" s="9">
        <f>+L20*Parameters!$P$36</f>
        <v>7.339562117895331</v>
      </c>
      <c r="R20" s="8">
        <f t="shared" si="6"/>
        <v>140843.86118236225</v>
      </c>
      <c r="S20" s="8">
        <f>+D20*E20/100*(1+'Population growth '!J18)^3</f>
        <v>45293.88914363538</v>
      </c>
      <c r="T20" s="8">
        <f t="shared" si="7"/>
        <v>43574.47903872688</v>
      </c>
      <c r="U20" s="7">
        <f>+P20*(1+'Population growth '!$J18)</f>
        <v>1936167.6689484937</v>
      </c>
      <c r="V20" s="9">
        <f>+Q20*Parameters!$P$36</f>
        <v>8.263686168643362</v>
      </c>
      <c r="W20" s="8">
        <f t="shared" si="8"/>
        <v>159998.81986064126</v>
      </c>
      <c r="X20" s="8">
        <f>+D20*E20/100*(1+'Population growth '!J18)^4</f>
        <v>45699.85314555459</v>
      </c>
      <c r="Y20" s="8">
        <f t="shared" si="9"/>
        <v>62323.47371508668</v>
      </c>
      <c r="Z20" s="7">
        <f>+U20*(1+'Population growth '!$J18)</f>
        <v>1953521.3206249995</v>
      </c>
      <c r="AA20" s="9">
        <f>+V20*Parameters!$P$36</f>
        <v>9.304166651485444</v>
      </c>
      <c r="AB20" s="8">
        <f t="shared" si="10"/>
        <v>181758.87924324922</v>
      </c>
      <c r="AC20" s="8">
        <f>+D20*E20/100*(1+'Population growth '!J18)^5</f>
        <v>46109.45575687499</v>
      </c>
      <c r="AD20" s="8">
        <f t="shared" si="11"/>
        <v>83673.93048637424</v>
      </c>
      <c r="AE20" s="73">
        <f>+Z20*(1+'Population growth '!$J18)</f>
        <v>1971030.5111173522</v>
      </c>
      <c r="AF20" s="74">
        <f>+AA20*Parameters!$P$36</f>
        <v>10.47565400136989</v>
      </c>
      <c r="AG20" s="75">
        <f t="shared" si="12"/>
        <v>206478.33660608632</v>
      </c>
      <c r="AH20" s="75">
        <f>+D20*E20/100*(1+'Population growth '!J18)^6</f>
        <v>46522.7295900408</v>
      </c>
      <c r="AI20" s="75">
        <f t="shared" si="13"/>
        <v>107980.11401604553</v>
      </c>
      <c r="AJ20" s="7">
        <f>+AE20*(1+'Population growth '!$K18)</f>
        <v>1986227.9910679557</v>
      </c>
      <c r="AK20" s="9">
        <f>+AF20*Parameters!$Q$36</f>
        <v>12.539333575781654</v>
      </c>
      <c r="AL20" s="8">
        <f t="shared" si="14"/>
        <v>249059.75337555763</v>
      </c>
      <c r="AM20" s="8">
        <f>+D20*E20/100*(1+'Population growth '!J18)^7</f>
        <v>46939.70754979791</v>
      </c>
      <c r="AN20" s="8">
        <f t="shared" si="15"/>
        <v>150144.55282575972</v>
      </c>
      <c r="AO20" s="7">
        <f>+AJ20*(1+'Population growth '!$K18)</f>
        <v>2001542.6500249454</v>
      </c>
      <c r="AP20" s="9">
        <f>+AK20*Parameters!$Q$36</f>
        <v>15.009553246428691</v>
      </c>
      <c r="AQ20" s="8">
        <f t="shared" si="16"/>
        <v>300422.60980547406</v>
      </c>
      <c r="AR20" s="8">
        <f>+D20*E20/100*(1+'Population growth '!J18)^8</f>
        <v>47360.422835813726</v>
      </c>
      <c r="AS20" s="8">
        <f t="shared" si="17"/>
        <v>201086.69396966035</v>
      </c>
      <c r="AT20" s="7">
        <f>+AO20*(1+'Population growth '!$K18)</f>
        <v>2016975.391488084</v>
      </c>
      <c r="AU20" s="9">
        <f>+AP20*Parameters!$Q$36</f>
        <v>17.966400470635424</v>
      </c>
      <c r="AV20" s="8">
        <f t="shared" si="18"/>
        <v>362377.8762289158</v>
      </c>
      <c r="AW20" s="8">
        <f>+D20*E20/100*(1+'Population growth '!J18)^9</f>
        <v>47784.908945320494</v>
      </c>
      <c r="AX20" s="8">
        <f t="shared" si="19"/>
        <v>262617.47428359534</v>
      </c>
      <c r="AY20" s="7">
        <f>+AT20*(1+'Population growth '!$K18)</f>
        <v>2032527.125923501</v>
      </c>
      <c r="AZ20" s="9">
        <f>+AU20*Parameters!$Q$36</f>
        <v>21.50573974931948</v>
      </c>
      <c r="BA20" s="8">
        <f t="shared" si="20"/>
        <v>437109.99403543124</v>
      </c>
      <c r="BB20" s="8">
        <f>+D20*E20/100*(1+'Population growth '!J18)^10</f>
        <v>48213.19967578238</v>
      </c>
      <c r="BC20" s="8">
        <f t="shared" si="21"/>
        <v>336921.3013596488</v>
      </c>
      <c r="BD20" s="73">
        <f>+AY20*(1+'Population growth '!$K18)</f>
        <v>2048198.7708174046</v>
      </c>
      <c r="BE20" s="74">
        <f>+AZ20*Parameters!$Q$36</f>
        <v>25.74232066803655</v>
      </c>
      <c r="BF20" s="75">
        <f t="shared" si="22"/>
        <v>527253.8955025993</v>
      </c>
      <c r="BG20" s="75">
        <f>+D20*E20/100*(1+'Population growth '!J18)^11</f>
        <v>48645.32912758638</v>
      </c>
      <c r="BH20" s="81">
        <f t="shared" si="23"/>
        <v>426633.0733750129</v>
      </c>
      <c r="BI20" s="13"/>
    </row>
    <row r="21" spans="1:61" ht="12.75">
      <c r="A21" s="6" t="s">
        <v>16</v>
      </c>
      <c r="B21" s="7">
        <v>1936357</v>
      </c>
      <c r="C21" s="11">
        <f t="shared" si="1"/>
        <v>23.020703310391628</v>
      </c>
      <c r="D21" s="12">
        <v>445763</v>
      </c>
      <c r="E21" s="33">
        <v>74</v>
      </c>
      <c r="F21" s="7">
        <f>+B21*(1+'Population growth '!J19)</f>
        <v>1947440.6559682619</v>
      </c>
      <c r="G21" s="9">
        <f>+C21*Parameters!$P$37</f>
        <v>25.028539865488035</v>
      </c>
      <c r="H21" s="8">
        <f t="shared" si="2"/>
        <v>487415.96093573817</v>
      </c>
      <c r="I21" s="8">
        <f>+D21*E21/100*(1+'Population growth '!J19)</f>
        <v>331752.75631173456</v>
      </c>
      <c r="J21" s="8">
        <f t="shared" si="3"/>
        <v>39764.82462400361</v>
      </c>
      <c r="K21" s="7">
        <f>+F21*(1+'Population growth '!$J19)</f>
        <v>1958587.7544885029</v>
      </c>
      <c r="L21" s="9">
        <f>+G21*Parameters!$P$37</f>
        <v>27.211497379211348</v>
      </c>
      <c r="M21" s="8">
        <f t="shared" si="4"/>
        <v>532961.0554821934</v>
      </c>
      <c r="N21" s="8">
        <f>+D21*E21/100*(1+'Population growth '!J19)^2</f>
        <v>333651.7002655002</v>
      </c>
      <c r="O21" s="8">
        <f t="shared" si="5"/>
        <v>83410.97521669313</v>
      </c>
      <c r="P21" s="7">
        <f>+K21*(1+'Population growth '!$J19)</f>
        <v>1969798.6587042033</v>
      </c>
      <c r="Q21" s="9">
        <f>+L21*Parameters!$P$37</f>
        <v>29.584849679539534</v>
      </c>
      <c r="R21" s="8">
        <f t="shared" si="6"/>
        <v>582761.9721672245</v>
      </c>
      <c r="S21" s="8">
        <f>+D21*E21/100*(1+'Population growth '!J19)^3</f>
        <v>335561.5137239526</v>
      </c>
      <c r="T21" s="8">
        <f t="shared" si="7"/>
        <v>131302.07844327192</v>
      </c>
      <c r="U21" s="7">
        <f>+P21*(1+'Population growth '!$J19)</f>
        <v>1981073.733837467</v>
      </c>
      <c r="V21" s="9">
        <f>+Q21*Parameters!$P$37</f>
        <v>32.16520275836131</v>
      </c>
      <c r="W21" s="8">
        <f t="shared" si="8"/>
        <v>637216.3832814604</v>
      </c>
      <c r="X21" s="8">
        <f>+D21*E21/100*(1+'Population growth '!J19)^4</f>
        <v>337482.25890384737</v>
      </c>
      <c r="Y21" s="8">
        <f t="shared" si="9"/>
        <v>183835.744377613</v>
      </c>
      <c r="Z21" s="7">
        <f>+U21*(1+'Population growth '!$J19)</f>
        <v>1992413.3472009192</v>
      </c>
      <c r="AA21" s="9">
        <f>+V21*Parameters!$P$37</f>
        <v>34.97061096112343</v>
      </c>
      <c r="AB21" s="8">
        <f t="shared" si="10"/>
        <v>696759.1203871309</v>
      </c>
      <c r="AC21" s="8">
        <f>+D21*E21/100*(1+'Population growth '!J19)^5</f>
        <v>339413.99837806734</v>
      </c>
      <c r="AD21" s="8">
        <f t="shared" si="11"/>
        <v>241446.74200906354</v>
      </c>
      <c r="AE21" s="73">
        <f>+Z21*(1+'Population growth '!$J19)</f>
        <v>2003817.8682096733</v>
      </c>
      <c r="AF21" s="74">
        <f>+AA21*Parameters!$P$37</f>
        <v>38.02070331039163</v>
      </c>
      <c r="AG21" s="75">
        <f t="shared" si="12"/>
        <v>761865.6465526143</v>
      </c>
      <c r="AH21" s="75">
        <f>+D21*E21/100*(1+'Population growth '!J19)^6</f>
        <v>341356.79507766076</v>
      </c>
      <c r="AI21" s="75">
        <f t="shared" si="13"/>
        <v>304610.4714749535</v>
      </c>
      <c r="AJ21" s="7">
        <f>+AE21*(1+'Population growth '!$K19)</f>
        <v>2007389.3608475102</v>
      </c>
      <c r="AK21" s="9">
        <f>+AF21*Parameters!$Q$37</f>
        <v>42.196866819903015</v>
      </c>
      <c r="AL21" s="8">
        <f t="shared" si="14"/>
        <v>847055.4151537262</v>
      </c>
      <c r="AM21" s="8">
        <f>+D21*E21/100*(1+'Population growth '!J19)^7</f>
        <v>343310.71229389164</v>
      </c>
      <c r="AN21" s="8">
        <f t="shared" si="15"/>
        <v>387846.3228598346</v>
      </c>
      <c r="AO21" s="7">
        <f>+AJ21*(1+'Population growth '!$K19)</f>
        <v>2010967.2191136132</v>
      </c>
      <c r="AP21" s="9">
        <f>+AK21*Parameters!$Q$37</f>
        <v>46.83173677457918</v>
      </c>
      <c r="AQ21" s="8">
        <f t="shared" si="16"/>
        <v>941770.8746783622</v>
      </c>
      <c r="AR21" s="8">
        <f>+D21*E21/100*(1+'Population growth '!J19)^8</f>
        <v>345275.8136803015</v>
      </c>
      <c r="AS21" s="8">
        <f t="shared" si="17"/>
        <v>480596.68099806074</v>
      </c>
      <c r="AT21" s="7">
        <f>+AO21*(1+'Population growth '!$K19)</f>
        <v>2014551.4543537216</v>
      </c>
      <c r="AU21" s="9">
        <f>+AP21*Parameters!$Q$37</f>
        <v>51.97569712187727</v>
      </c>
      <c r="AV21" s="8">
        <f t="shared" si="18"/>
        <v>1047077.1622792638</v>
      </c>
      <c r="AW21" s="8">
        <f>+D21*E21/100*(1+'Population growth '!J19)^9</f>
        <v>347252.1632547829</v>
      </c>
      <c r="AX21" s="8">
        <f t="shared" si="19"/>
        <v>583926.6190244809</v>
      </c>
      <c r="AY21" s="7">
        <f>+AT21*(1+'Population growth '!$K19)</f>
        <v>2018142.077933796</v>
      </c>
      <c r="AZ21" s="9">
        <f>+AU21*Parameters!$Q$37</f>
        <v>57.68466594156962</v>
      </c>
      <c r="BA21" s="8">
        <f t="shared" si="20"/>
        <v>1164158.515882362</v>
      </c>
      <c r="BB21" s="8">
        <f>+D21*E21/100*(1+'Population growth '!J19)^10</f>
        <v>349239.8254016653</v>
      </c>
      <c r="BC21" s="8">
        <f t="shared" si="21"/>
        <v>699020.3104806966</v>
      </c>
      <c r="BD21" s="73">
        <f>+AY21*(1+'Population growth '!$K19)</f>
        <v>2021739.1012400554</v>
      </c>
      <c r="BE21" s="74">
        <f>+AZ21*Parameters!$Q$37</f>
        <v>64.02070331039165</v>
      </c>
      <c r="BF21" s="75">
        <f t="shared" si="22"/>
        <v>1294331.5917150746</v>
      </c>
      <c r="BG21" s="75">
        <f>+D21*E21/100*(1+'Population growth '!J19)^11</f>
        <v>351238.8648738121</v>
      </c>
      <c r="BH21" s="81">
        <f t="shared" si="23"/>
        <v>827194.3468412625</v>
      </c>
      <c r="BI21" s="13"/>
    </row>
    <row r="22" spans="1:61" ht="12.75">
      <c r="A22" s="6" t="s">
        <v>17</v>
      </c>
      <c r="B22" s="7">
        <v>1414594</v>
      </c>
      <c r="C22" s="11">
        <f t="shared" si="1"/>
        <v>10.349471297064742</v>
      </c>
      <c r="D22" s="12">
        <v>146403</v>
      </c>
      <c r="E22" s="33">
        <v>73.2</v>
      </c>
      <c r="F22" s="7">
        <f>+B22*(1+'Population growth '!J20)</f>
        <v>1431436.5468648572</v>
      </c>
      <c r="G22" s="9">
        <f>+C22*Parameters!$P$38</f>
        <v>13.156798479352288</v>
      </c>
      <c r="H22" s="8">
        <f t="shared" si="2"/>
        <v>188331.22183080844</v>
      </c>
      <c r="I22" s="8">
        <f>+D22*E22/100*(1+'Population growth '!J20)</f>
        <v>108442.9558531423</v>
      </c>
      <c r="J22" s="8">
        <f t="shared" si="3"/>
        <v>40652.26197766615</v>
      </c>
      <c r="K22" s="7">
        <f>+F22*(1+'Population growth '!$J20)</f>
        <v>1448479.6257444797</v>
      </c>
      <c r="L22" s="9">
        <f>+G22*Parameters!$P$38</f>
        <v>16.725622136406205</v>
      </c>
      <c r="M22" s="8">
        <f t="shared" si="4"/>
        <v>242267.22892485245</v>
      </c>
      <c r="N22" s="8">
        <f>+D22*E22/100*(1+'Population growth '!J20)^2</f>
        <v>109734.10763670718</v>
      </c>
      <c r="O22" s="8">
        <f t="shared" si="5"/>
        <v>93297.11728814527</v>
      </c>
      <c r="P22" s="7">
        <f>+K22*(1+'Population growth '!$J20)</f>
        <v>1465725.624228421</v>
      </c>
      <c r="Q22" s="9">
        <f>+L22*Parameters!$P$38</f>
        <v>21.26250062193042</v>
      </c>
      <c r="R22" s="8">
        <f t="shared" si="6"/>
        <v>311649.91996736155</v>
      </c>
      <c r="S22" s="8">
        <f>+D22*E22/100*(1+'Population growth '!J20)^3</f>
        <v>111040.63223001419</v>
      </c>
      <c r="T22" s="8">
        <f t="shared" si="7"/>
        <v>161373.28373734737</v>
      </c>
      <c r="U22" s="7">
        <f>+P22*(1+'Population growth '!$J20)</f>
        <v>1483176.9583335347</v>
      </c>
      <c r="V22" s="9">
        <f>+Q22*Parameters!$P$38</f>
        <v>27.03002190355186</v>
      </c>
      <c r="W22" s="8">
        <f t="shared" si="8"/>
        <v>400903.05670598865</v>
      </c>
      <c r="X22" s="8">
        <f>+D22*E22/100*(1+'Population growth '!J20)^4</f>
        <v>112362.71266598196</v>
      </c>
      <c r="Y22" s="8">
        <f t="shared" si="9"/>
        <v>249304.3400400067</v>
      </c>
      <c r="Z22" s="7">
        <f>+U22*(1+'Population growth '!$J20)</f>
        <v>1500836.072842439</v>
      </c>
      <c r="AA22" s="9">
        <f>+V22*Parameters!$P$38</f>
        <v>34.36200177475457</v>
      </c>
      <c r="AB22" s="8">
        <f t="shared" si="10"/>
        <v>515717.31798627565</v>
      </c>
      <c r="AC22" s="8">
        <f>+D22*E22/100*(1+'Population growth '!J20)^5</f>
        <v>113700.53415676965</v>
      </c>
      <c r="AD22" s="8">
        <f t="shared" si="11"/>
        <v>362780.779829506</v>
      </c>
      <c r="AE22" s="73">
        <f>+Z22*(1+'Population growth '!$J20)</f>
        <v>1518705.4416460088</v>
      </c>
      <c r="AF22" s="74">
        <f>+AA22*Parameters!$P$38</f>
        <v>43.68280463039806</v>
      </c>
      <c r="AG22" s="75">
        <f t="shared" si="12"/>
        <v>663413.13098545</v>
      </c>
      <c r="AH22" s="75">
        <f>+D22*E22/100*(1+'Population growth '!J20)^6</f>
        <v>115054.28411972345</v>
      </c>
      <c r="AI22" s="75">
        <f t="shared" si="13"/>
        <v>509122.8428657265</v>
      </c>
      <c r="AJ22" s="7">
        <f>+AE22*(1+'Population growth '!$K20)</f>
        <v>1522651.6485719762</v>
      </c>
      <c r="AK22" s="9">
        <f>+AF22*Parameters!$Q$38</f>
        <v>43.68280463039806</v>
      </c>
      <c r="AL22" s="8">
        <f t="shared" si="14"/>
        <v>665136.9448472316</v>
      </c>
      <c r="AM22" s="8">
        <f>+D22*E22/100*(1+'Population growth '!J20)^7</f>
        <v>116424.15220363236</v>
      </c>
      <c r="AN22" s="8">
        <f t="shared" si="15"/>
        <v>509476.7886435992</v>
      </c>
      <c r="AO22" s="7">
        <f>+AJ22*(1+'Population growth '!$K20)</f>
        <v>1526608.1093290525</v>
      </c>
      <c r="AP22" s="9">
        <f>+AK22*Parameters!$Q$38</f>
        <v>43.68280463039806</v>
      </c>
      <c r="AQ22" s="8">
        <f t="shared" si="16"/>
        <v>666865.2378700236</v>
      </c>
      <c r="AR22" s="8">
        <f>+D22*E22/100*(1+'Population growth '!J20)^8</f>
        <v>117810.33031529617</v>
      </c>
      <c r="AS22" s="8">
        <f t="shared" si="17"/>
        <v>509818.9035547274</v>
      </c>
      <c r="AT22" s="7">
        <f>+AO22*(1+'Population growth '!$K20)</f>
        <v>1530574.8505608104</v>
      </c>
      <c r="AU22" s="9">
        <f>+AP22*Parameters!$Q$38</f>
        <v>43.68280463039806</v>
      </c>
      <c r="AV22" s="8">
        <f t="shared" si="18"/>
        <v>668598.0216924859</v>
      </c>
      <c r="AW22" s="8">
        <f>+D22*E22/100*(1+'Population growth '!J20)^9</f>
        <v>119213.01264641005</v>
      </c>
      <c r="AX22" s="8">
        <f t="shared" si="19"/>
        <v>510149.00504607585</v>
      </c>
      <c r="AY22" s="7">
        <f>+AT22*(1+'Population growth '!$K20)</f>
        <v>1534551.8989800538</v>
      </c>
      <c r="AZ22" s="9">
        <f>+AU22*Parameters!$Q$38</f>
        <v>43.68280463039806</v>
      </c>
      <c r="BA22" s="8">
        <f t="shared" si="20"/>
        <v>670335.3079835203</v>
      </c>
      <c r="BB22" s="8">
        <f>+D22*E22/100*(1+'Population growth '!J20)^10</f>
        <v>120632.39570076909</v>
      </c>
      <c r="BC22" s="8">
        <f t="shared" si="21"/>
        <v>510466.90828275116</v>
      </c>
      <c r="BD22" s="73">
        <f>+AY22*(1+'Population growth '!$K20)</f>
        <v>1538539.2813689972</v>
      </c>
      <c r="BE22" s="74">
        <f>+AZ22*Parameters!$Q$38</f>
        <v>43.68280463039806</v>
      </c>
      <c r="BF22" s="75">
        <f t="shared" si="22"/>
        <v>672077.1084423492</v>
      </c>
      <c r="BG22" s="75">
        <f>+D22*E22/100*(1+'Population growth '!J20)^11</f>
        <v>122068.67832179688</v>
      </c>
      <c r="BH22" s="81">
        <f t="shared" si="23"/>
        <v>510772.4261205524</v>
      </c>
      <c r="BI22" s="13"/>
    </row>
    <row r="23" spans="1:61" ht="12.75">
      <c r="A23" s="6" t="s">
        <v>18</v>
      </c>
      <c r="B23" s="7">
        <v>491438</v>
      </c>
      <c r="C23" s="8" t="s">
        <v>0</v>
      </c>
      <c r="D23" s="12" t="s">
        <v>0</v>
      </c>
      <c r="E23" s="33">
        <v>67</v>
      </c>
      <c r="F23" s="7">
        <f>+B23*(1+'Population growth '!J21)</f>
        <v>493613.65911976923</v>
      </c>
      <c r="G23" s="9" t="s">
        <v>101</v>
      </c>
      <c r="H23" s="10" t="s">
        <v>34</v>
      </c>
      <c r="I23" s="10" t="s">
        <v>34</v>
      </c>
      <c r="J23" s="10" t="s">
        <v>34</v>
      </c>
      <c r="K23" s="7">
        <f>+F23*(1+'Population growth '!$J21)</f>
        <v>495798.9501617859</v>
      </c>
      <c r="L23" s="9" t="s">
        <v>101</v>
      </c>
      <c r="M23" s="10" t="s">
        <v>34</v>
      </c>
      <c r="N23" s="10" t="s">
        <v>34</v>
      </c>
      <c r="O23" s="9" t="s">
        <v>34</v>
      </c>
      <c r="P23" s="7">
        <f>+K23*(1+'Population growth '!$J21)</f>
        <v>497993.91576780635</v>
      </c>
      <c r="Q23" s="9" t="s">
        <v>101</v>
      </c>
      <c r="R23" s="10" t="s">
        <v>34</v>
      </c>
      <c r="S23" s="10" t="s">
        <v>34</v>
      </c>
      <c r="T23" s="9" t="s">
        <v>34</v>
      </c>
      <c r="U23" s="7">
        <f>+P23*(1+'Population growth '!$J21)</f>
        <v>500198.5987683676</v>
      </c>
      <c r="V23" s="9" t="s">
        <v>101</v>
      </c>
      <c r="W23" s="10" t="s">
        <v>34</v>
      </c>
      <c r="X23" s="10" t="s">
        <v>34</v>
      </c>
      <c r="Y23" s="9" t="s">
        <v>34</v>
      </c>
      <c r="Z23" s="7">
        <f>+U23*(1+'Population growth '!$J21)</f>
        <v>502413.04218362283</v>
      </c>
      <c r="AA23" s="9" t="s">
        <v>101</v>
      </c>
      <c r="AB23" s="10" t="s">
        <v>34</v>
      </c>
      <c r="AC23" s="10" t="s">
        <v>34</v>
      </c>
      <c r="AD23" s="9" t="s">
        <v>34</v>
      </c>
      <c r="AE23" s="73">
        <f>+Z23*(1+'Population growth '!$J21)</f>
        <v>504637.289224181</v>
      </c>
      <c r="AF23" s="74" t="s">
        <v>101</v>
      </c>
      <c r="AG23" s="76" t="s">
        <v>34</v>
      </c>
      <c r="AH23" s="76" t="s">
        <v>34</v>
      </c>
      <c r="AI23" s="74" t="s">
        <v>34</v>
      </c>
      <c r="AJ23" s="7">
        <f>+AE23*(1+'Population growth '!$K21)</f>
        <v>504637.289224181</v>
      </c>
      <c r="AK23" s="9" t="s">
        <v>101</v>
      </c>
      <c r="AL23" s="10" t="s">
        <v>34</v>
      </c>
      <c r="AM23" s="10" t="s">
        <v>34</v>
      </c>
      <c r="AN23" s="9" t="s">
        <v>34</v>
      </c>
      <c r="AO23" s="7">
        <f>+AJ23*(1+'Population growth '!$K21)</f>
        <v>504637.289224181</v>
      </c>
      <c r="AP23" s="9" t="s">
        <v>101</v>
      </c>
      <c r="AQ23" s="10" t="s">
        <v>34</v>
      </c>
      <c r="AR23" s="10" t="s">
        <v>34</v>
      </c>
      <c r="AS23" s="9" t="s">
        <v>34</v>
      </c>
      <c r="AT23" s="7">
        <f>+AO23*(1+'Population growth '!$K21)</f>
        <v>504637.289224181</v>
      </c>
      <c r="AU23" s="9" t="s">
        <v>101</v>
      </c>
      <c r="AV23" s="10" t="s">
        <v>34</v>
      </c>
      <c r="AW23" s="10" t="s">
        <v>34</v>
      </c>
      <c r="AX23" s="9" t="s">
        <v>34</v>
      </c>
      <c r="AY23" s="7">
        <f>+AT23*(1+'Population growth '!$K21)</f>
        <v>504637.289224181</v>
      </c>
      <c r="AZ23" s="9" t="s">
        <v>101</v>
      </c>
      <c r="BA23" s="10" t="s">
        <v>34</v>
      </c>
      <c r="BB23" s="10" t="s">
        <v>34</v>
      </c>
      <c r="BC23" s="9" t="s">
        <v>34</v>
      </c>
      <c r="BD23" s="73">
        <f>+AY23*(1+'Population growth '!$K21)</f>
        <v>504637.289224181</v>
      </c>
      <c r="BE23" s="74" t="s">
        <v>101</v>
      </c>
      <c r="BF23" s="76" t="s">
        <v>34</v>
      </c>
      <c r="BG23" s="75" t="s">
        <v>34</v>
      </c>
      <c r="BH23" s="74" t="s">
        <v>34</v>
      </c>
      <c r="BI23" s="13"/>
    </row>
    <row r="24" spans="1:61" ht="12.75">
      <c r="A24" s="6" t="s">
        <v>19</v>
      </c>
      <c r="B24" s="7">
        <v>122715</v>
      </c>
      <c r="C24" s="11">
        <f>+D24/B24*100</f>
        <v>63.561911746730225</v>
      </c>
      <c r="D24" s="12">
        <v>78000</v>
      </c>
      <c r="E24" s="33">
        <v>71.5</v>
      </c>
      <c r="F24" s="7">
        <f>+B24*(1+'Population growth '!J22)</f>
        <v>124961.70575063431</v>
      </c>
      <c r="G24" s="9">
        <f>+C24*Parameters!$P$40</f>
        <v>64.52470742409997</v>
      </c>
      <c r="H24" s="8">
        <f>+F24*G24/100</f>
        <v>80631.17502776149</v>
      </c>
      <c r="I24" s="8">
        <f>+D24*E24/100*(1+'Population growth '!J22)</f>
        <v>56791.05512539523</v>
      </c>
      <c r="J24" s="8">
        <f t="shared" si="3"/>
        <v>1610.119902366263</v>
      </c>
      <c r="K24" s="7">
        <f>+F24*(1+'Population growth '!$J22)</f>
        <v>127249.54491389083</v>
      </c>
      <c r="L24" s="9">
        <f>+G24*Parameters!$P$40</f>
        <v>65.50208692204541</v>
      </c>
      <c r="M24" s="8">
        <f>+K24*L24/100</f>
        <v>83351.10751740397</v>
      </c>
      <c r="N24" s="8">
        <f>+D24*E24/100*(1+'Population growth '!J22)^2</f>
        <v>57830.80405694245</v>
      </c>
      <c r="O24" s="8">
        <f>+(M24-N24)-D24*(100-E24)/100</f>
        <v>3290.303460461524</v>
      </c>
      <c r="P24" s="7">
        <f>+K24*(1+'Population growth '!$J22)</f>
        <v>129579.27057353829</v>
      </c>
      <c r="Q24" s="9">
        <f>+L24*Parameters!$P$40</f>
        <v>66.49427114706579</v>
      </c>
      <c r="R24" s="8">
        <f>+P24*Q24/100</f>
        <v>86162.79152555858</v>
      </c>
      <c r="S24" s="8">
        <f>+D24*E24/100*(1+'Population growth '!J22)^3</f>
        <v>58889.589046866575</v>
      </c>
      <c r="T24" s="8">
        <f>+(R24-S24)-D24*(100-E24)/100</f>
        <v>5043.202478692008</v>
      </c>
      <c r="U24" s="7">
        <f>+P24*(1+'Population growth '!$J22)</f>
        <v>131951.64960104568</v>
      </c>
      <c r="V24" s="9">
        <f>+Q24*Parameters!$P$40</f>
        <v>67.50148435181242</v>
      </c>
      <c r="W24" s="8">
        <f>+U24*V24/100</f>
        <v>89069.32210740821</v>
      </c>
      <c r="X24" s="8">
        <f>+D24*E24/100*(1+'Population growth '!J22)^4</f>
        <v>59967.75861345653</v>
      </c>
      <c r="Y24" s="8">
        <f>+(W24-X24)-D24*(100-E24)/100</f>
        <v>6871.563493951682</v>
      </c>
      <c r="Z24" s="7">
        <f>+U24*(1+'Population growth '!$J22)</f>
        <v>134367.46290801183</v>
      </c>
      <c r="AA24" s="9">
        <f>+V24*Parameters!$P$40</f>
        <v>68.52395418577412</v>
      </c>
      <c r="AB24" s="8">
        <f>+Z24*AA24/100</f>
        <v>92073.89872367306</v>
      </c>
      <c r="AC24" s="8">
        <f>+D24*E24/100*(1+'Population growth '!J22)^5</f>
        <v>61065.66765578635</v>
      </c>
      <c r="AD24" s="8">
        <f>+(AB24-AC24)-D24*(100-E24)/100</f>
        <v>8778.231067886714</v>
      </c>
      <c r="AE24" s="73">
        <f>+Z24*(1+'Population growth '!$J22)</f>
        <v>136827.50570321677</v>
      </c>
      <c r="AF24" s="74">
        <f>+AA24*Parameters!$P$40</f>
        <v>69.56191174673026</v>
      </c>
      <c r="AG24" s="75">
        <f>+AE24*AF24/100</f>
        <v>95179.82876252396</v>
      </c>
      <c r="AH24" s="75">
        <f>+D24*E24/100*(1+'Population growth '!J22)^6</f>
        <v>62183.677570536616</v>
      </c>
      <c r="AI24" s="75">
        <f>+(AG24-AH24)-D24*(100-E24)/100</f>
        <v>10766.151191987345</v>
      </c>
      <c r="AJ24" s="7">
        <f>+AE24*(1+'Population growth '!$K22)</f>
        <v>138279.58169280944</v>
      </c>
      <c r="AK24" s="9">
        <f>+AF24*Parameters!$Q$40</f>
        <v>72.62079902437321</v>
      </c>
      <c r="AL24" s="8">
        <f>+AJ24*AK24/100</f>
        <v>100419.73711287911</v>
      </c>
      <c r="AM24" s="8">
        <f>+D24*E24/100*(1+'Population growth '!J22)^7</f>
        <v>63322.15637095478</v>
      </c>
      <c r="AN24" s="8">
        <f>+(AL24-AM24)-D24*(100-E24)/100</f>
        <v>14867.580741924336</v>
      </c>
      <c r="AO24" s="7">
        <f>+AJ24*(1+'Population growth '!$K22)</f>
        <v>139747.06777607236</v>
      </c>
      <c r="AP24" s="9">
        <f>+AK24*Parameters!$Q$40</f>
        <v>75.81419656981032</v>
      </c>
      <c r="AQ24" s="8">
        <f>+AO24*AP24/100</f>
        <v>105948.11666429756</v>
      </c>
      <c r="AR24" s="8">
        <f>+D24*E24/100*(1+'Population growth '!J22)^8</f>
        <v>64481.478807993364</v>
      </c>
      <c r="AS24" s="8">
        <f>+(AQ24-AR24)-D24*(100-E24)/100</f>
        <v>19236.637856304194</v>
      </c>
      <c r="AT24" s="7">
        <f>+AO24*(1+'Population growth '!$K22)</f>
        <v>141230.12749195847</v>
      </c>
      <c r="AU24" s="9">
        <f>+AP24*Parameters!$Q$40</f>
        <v>79.14801928297081</v>
      </c>
      <c r="AV24" s="8">
        <f>+AT24*AU24/100</f>
        <v>111780.84854069953</v>
      </c>
      <c r="AW24" s="8">
        <f>+D24*E24/100*(1+'Population growth '!J22)^9</f>
        <v>65662.02649366605</v>
      </c>
      <c r="AX24" s="8">
        <f>+(AV24-AW24)-D24*(100-E24)/100</f>
        <v>23888.822047033478</v>
      </c>
      <c r="AY24" s="7">
        <f>+AT24*(1+'Population growth '!$K22)</f>
        <v>142728.92611497076</v>
      </c>
      <c r="AZ24" s="9">
        <f>+AU24*Parameters!$Q$40</f>
        <v>82.62844216319303</v>
      </c>
      <c r="BA24" s="8">
        <f>+AY24*AZ24/100</f>
        <v>117934.68816505512</v>
      </c>
      <c r="BB24" s="8">
        <f>+D24*E24/100*(1+'Population growth '!J22)^10</f>
        <v>66864.1880266622</v>
      </c>
      <c r="BC24" s="8">
        <f>+(BA24-BB24)-D24*(100-E24)/100</f>
        <v>28840.50013839292</v>
      </c>
      <c r="BD24" s="73">
        <f>+AY24*(1+'Population growth '!$K22)</f>
        <v>144243.63067358074</v>
      </c>
      <c r="BE24" s="74">
        <f>+AZ24*Parameters!$Q$40</f>
        <v>86.26191174673029</v>
      </c>
      <c r="BF24" s="75">
        <f>+BD24*BE24/100</f>
        <v>124427.31339192382</v>
      </c>
      <c r="BG24" s="75">
        <f>+D24*E24/100*(1+'Population growth '!J22)^11</f>
        <v>68088.35912026117</v>
      </c>
      <c r="BH24" s="81">
        <f>+(BF24-BG24)-D24*(100-E24)/100</f>
        <v>34108.954271662646</v>
      </c>
      <c r="BI24" s="13"/>
    </row>
    <row r="25" spans="1:61" ht="12.75">
      <c r="A25" s="6" t="s">
        <v>20</v>
      </c>
      <c r="B25" s="7">
        <v>1979839</v>
      </c>
      <c r="C25" s="11">
        <f>+D25/B25*100</f>
        <v>0.7729921473412736</v>
      </c>
      <c r="D25" s="8">
        <v>15304</v>
      </c>
      <c r="E25" s="63">
        <v>44.9</v>
      </c>
      <c r="F25" s="7">
        <f>+B25*(1+'Population growth '!J23)</f>
        <v>2031870.8863314625</v>
      </c>
      <c r="G25" s="9">
        <f>+C25*Parameters!$P$41</f>
        <v>1.282267535418615</v>
      </c>
      <c r="H25" s="8">
        <f>+F25*G25/100</f>
        <v>26054.020737050814</v>
      </c>
      <c r="I25" s="8">
        <f>+D25*E25/100*(1+'Population growth '!J23)</f>
        <v>7052.084875559629</v>
      </c>
      <c r="J25" s="8">
        <f t="shared" si="3"/>
        <v>10569.431861491183</v>
      </c>
      <c r="K25" s="7">
        <f>+F25*(1+'Population growth '!$J23)</f>
        <v>2085270.215770779</v>
      </c>
      <c r="L25" s="9">
        <f>+G25*Parameters!$P$41</f>
        <v>2.1270721029234667</v>
      </c>
      <c r="M25" s="8">
        <f>+K25*L25/100</f>
        <v>44355.201030232216</v>
      </c>
      <c r="N25" s="8">
        <f>+D25*E25/100*(1+'Population growth '!J23)^2</f>
        <v>7237.419783420796</v>
      </c>
      <c r="O25" s="8">
        <f>+(M25-N25)-D25*(100-E25)/100</f>
        <v>28685.27724681142</v>
      </c>
      <c r="P25" s="7">
        <f>+K25*(1+'Population growth '!$J23)</f>
        <v>2140072.925909012</v>
      </c>
      <c r="Q25" s="9">
        <f>+L25*Parameters!$P$41</f>
        <v>3.528464697157127</v>
      </c>
      <c r="R25" s="8">
        <f>+P25*Q25/100</f>
        <v>75511.71768411709</v>
      </c>
      <c r="S25" s="8">
        <f>+D25*E25/100*(1+'Population growth '!J23)^3</f>
        <v>7427.625453429333</v>
      </c>
      <c r="T25" s="8">
        <f>+(R25-S25)-D25*(100-E25)/100</f>
        <v>59651.58823068776</v>
      </c>
      <c r="U25" s="7">
        <f>+P25*(1+'Population growth '!$J23)</f>
        <v>2196315.8988082926</v>
      </c>
      <c r="V25" s="9">
        <f>+Q25*Parameters!$P$41</f>
        <v>5.853145787569994</v>
      </c>
      <c r="W25" s="8">
        <f>+U25*V25/100</f>
        <v>128553.57151282764</v>
      </c>
      <c r="X25" s="8">
        <f>+D25*E25/100*(1+'Population growth '!J23)^4</f>
        <v>7622.8298934396125</v>
      </c>
      <c r="Y25" s="8">
        <f>+(W25-X25)-D25*(100-E25)/100</f>
        <v>112498.23761938802</v>
      </c>
      <c r="Z25" s="7">
        <f>+U25*(1+'Population growth '!$J23)</f>
        <v>2254036.9858233365</v>
      </c>
      <c r="AA25" s="9">
        <f>+V25*Parameters!$P$41</f>
        <v>9.70941147240356</v>
      </c>
      <c r="AB25" s="8">
        <f>+Z25*AA25/100</f>
        <v>218853.72569375043</v>
      </c>
      <c r="AC25" s="8">
        <f>+D25*E25/100*(1+'Population growth '!J23)^5</f>
        <v>7823.164475463466</v>
      </c>
      <c r="AD25" s="8">
        <f>+(AB25-AC25)-D25*(100-E25)/100</f>
        <v>202598.05721828697</v>
      </c>
      <c r="AE25" s="73">
        <f>+Z25*(1+'Population growth '!$J23)</f>
        <v>2313275.0330752963</v>
      </c>
      <c r="AF25" s="74">
        <f>+AA25*Parameters!$P$41</f>
        <v>16.10632548067461</v>
      </c>
      <c r="AG25" s="75">
        <f>+AE25*AF25/100</f>
        <v>372583.6060902905</v>
      </c>
      <c r="AH25" s="75">
        <f>+D25*E25/100*(1+'Population growth '!J23)^6</f>
        <v>8028.764024083152</v>
      </c>
      <c r="AI25" s="75">
        <f>+(AG25-AH25)-D25*(100-E25)/100</f>
        <v>356122.3380662073</v>
      </c>
      <c r="AJ25" s="7">
        <f>+AE25*(1+'Population growth '!$K23)</f>
        <v>2363961.7673572213</v>
      </c>
      <c r="AK25" s="9">
        <f>+AF25*Parameters!$Q$41</f>
        <v>20.34313260280181</v>
      </c>
      <c r="AL25" s="8">
        <f>+AJ25*AK25/100</f>
        <v>480903.8770130167</v>
      </c>
      <c r="AM25" s="8">
        <f>+D25*E25/100*(1+'Population growth '!J23)^7</f>
        <v>8239.766907187906</v>
      </c>
      <c r="AN25" s="8">
        <f>+(AL25-AM25)-D25*(100-E25)/100</f>
        <v>464231.60610582883</v>
      </c>
      <c r="AO25" s="7">
        <f>+AJ25*(1+'Population growth '!$K23)</f>
        <v>2415759.1110545564</v>
      </c>
      <c r="AP25" s="9">
        <f>+AK25*Parameters!$Q$41</f>
        <v>25.694441888172012</v>
      </c>
      <c r="AQ25" s="8">
        <f>+AO25*AP25/100</f>
        <v>620715.8209481337</v>
      </c>
      <c r="AR25" s="8">
        <f>+D25*E25/100*(1+'Population growth '!J23)^8</f>
        <v>8456.315129095115</v>
      </c>
      <c r="AS25" s="8">
        <f>+(AQ25-AR25)-D25*(100-E25)/100</f>
        <v>603827.0018190386</v>
      </c>
      <c r="AT25" s="7">
        <f>+AO25*(1+'Population growth '!$K23)</f>
        <v>2468691.3990014764</v>
      </c>
      <c r="AU25" s="9">
        <f>+AP25*Parameters!$Q$41</f>
        <v>32.453425774441456</v>
      </c>
      <c r="AV25" s="8">
        <f>+AT25*AU25/100</f>
        <v>801174.9307749645</v>
      </c>
      <c r="AW25" s="8">
        <f>+D25*E25/100*(1+'Population growth '!J23)^9</f>
        <v>8678.554426118817</v>
      </c>
      <c r="AX25" s="8">
        <f>+(AV25-AW25)-D25*(100-E25)/100</f>
        <v>784063.8723488457</v>
      </c>
      <c r="AY25" s="7">
        <f>+AT25*(1+'Population growth '!$K23)</f>
        <v>2522783.499238651</v>
      </c>
      <c r="AZ25" s="9">
        <f>+AU25*Parameters!$Q$41</f>
        <v>40.99037640440109</v>
      </c>
      <c r="BA25" s="8">
        <f>+AY25*AZ25/100</f>
        <v>1034098.452206044</v>
      </c>
      <c r="BB25" s="8">
        <f>+D25*E25/100*(1+'Population growth '!J23)^10</f>
        <v>8906.634364649792</v>
      </c>
      <c r="BC25" s="8">
        <f>+(BA25-BB25)-D25*(100-E25)/100</f>
        <v>1016759.3138413943</v>
      </c>
      <c r="BD25" s="73">
        <f>+AY25*(1+'Population growth '!$K23)</f>
        <v>2578060.824696463</v>
      </c>
      <c r="BE25" s="74">
        <f>+AZ25*Parameters!$Q$41</f>
        <v>51.772992147341306</v>
      </c>
      <c r="BF25" s="75">
        <f>+BD25*BE25/100</f>
        <v>1334739.2283237823</v>
      </c>
      <c r="BG25" s="75">
        <f>+D25*E25/100*(1+'Population growth '!J23)^11</f>
        <v>9140.708441813316</v>
      </c>
      <c r="BH25" s="82">
        <f>+(BF25-BG25)-D25*(100-E25)/100</f>
        <v>1317166.0158819691</v>
      </c>
      <c r="BI25" s="13"/>
    </row>
    <row r="26" spans="1:60" ht="12.75">
      <c r="A26" s="64" t="s">
        <v>39</v>
      </c>
      <c r="B26" s="65">
        <f>SUM(B6:B25)</f>
        <v>16725030</v>
      </c>
      <c r="C26" s="66">
        <f>+D26/B26*100</f>
        <v>14.94997617343586</v>
      </c>
      <c r="D26" s="65">
        <f>SUM(D6:D25)</f>
        <v>2500388</v>
      </c>
      <c r="E26" s="67"/>
      <c r="F26" s="65">
        <f>SUM(F6:F25)</f>
        <v>16918426.83071201</v>
      </c>
      <c r="G26" s="68"/>
      <c r="H26" s="65">
        <f>SUM(H6:H25)</f>
        <v>2656998.9709522035</v>
      </c>
      <c r="I26" s="65">
        <f>SUM(I6:I25)</f>
        <v>1903788.4977285604</v>
      </c>
      <c r="J26" s="67">
        <f>SUM(J6:J25)</f>
        <v>232545.71722364286</v>
      </c>
      <c r="K26" s="65">
        <f>SUM(K6:K25)</f>
        <v>17114799.944061734</v>
      </c>
      <c r="L26" s="68"/>
      <c r="M26" s="65">
        <f>SUM(M6:M25)</f>
        <v>2944703.4777984135</v>
      </c>
      <c r="N26" s="65">
        <f>SUM(N6:N25)</f>
        <v>1918975.4849370706</v>
      </c>
      <c r="O26" s="67">
        <f>SUM(O6:O25)</f>
        <v>505063.23686134315</v>
      </c>
      <c r="P26" s="65">
        <f>SUM(P6:P25)</f>
        <v>17314206.325719174</v>
      </c>
      <c r="Q26" s="68"/>
      <c r="R26" s="65">
        <f>SUM(R6:R25)</f>
        <v>3284118.151844976</v>
      </c>
      <c r="S26" s="65">
        <f>SUM(S6:S25)</f>
        <v>1934320.2013670001</v>
      </c>
      <c r="T26" s="67">
        <f>SUM(T6:T25)</f>
        <v>829133.1944779753</v>
      </c>
      <c r="U26" s="65">
        <f>SUM(U6:U25)</f>
        <v>17516704.214201614</v>
      </c>
      <c r="V26" s="68"/>
      <c r="W26" s="65">
        <f>SUM(W6:W25)</f>
        <v>3692079.781627215</v>
      </c>
      <c r="X26" s="65">
        <f>SUM(X6:X25)</f>
        <v>1949824.6730763298</v>
      </c>
      <c r="Y26" s="67">
        <f>SUM(Y6:Y25)</f>
        <v>1221590.3525508847</v>
      </c>
      <c r="Z26" s="65">
        <f>SUM(Z6:Z25)</f>
        <v>17722353.130613714</v>
      </c>
      <c r="AA26" s="68"/>
      <c r="AB26" s="65">
        <f>SUM(AB6:AB25)</f>
        <v>4193716.6077417517</v>
      </c>
      <c r="AC26" s="65">
        <f>SUM(AC6:AC25)</f>
        <v>1965490.9569597638</v>
      </c>
      <c r="AD26" s="67">
        <f>SUM(AD6:AD25)</f>
        <v>1707560.8947819886</v>
      </c>
      <c r="AE26" s="77">
        <f>SUM(AE6:AE25)</f>
        <v>17931213.90912324</v>
      </c>
      <c r="AF26" s="78"/>
      <c r="AG26" s="77">
        <f>SUM(AG6:AG25)</f>
        <v>4827447.423376257</v>
      </c>
      <c r="AH26" s="77">
        <f>SUM(AH6:AH25)</f>
        <v>1981321.141278665</v>
      </c>
      <c r="AI26" s="79">
        <f>SUM(AI6:AI25)</f>
        <v>2325461.526097592</v>
      </c>
      <c r="AJ26" s="65">
        <f>SUM(AJ6:AJ25)</f>
        <v>18053078.05924412</v>
      </c>
      <c r="AK26" s="68"/>
      <c r="AL26" s="65">
        <f>SUM(AL6:AL25)</f>
        <v>5293606.248799901</v>
      </c>
      <c r="AM26" s="65">
        <f>SUM(AM6:AM25)</f>
        <v>1997317.3462009018</v>
      </c>
      <c r="AN26" s="67">
        <f>SUM(AN6:AN25)</f>
        <v>2775624.146598999</v>
      </c>
      <c r="AO26" s="65">
        <f>SUM(AO6:AO25)</f>
        <v>18176591.185250208</v>
      </c>
      <c r="AP26" s="68"/>
      <c r="AQ26" s="65">
        <f>SUM(AQ6:AQ25)</f>
        <v>5854579.529721389</v>
      </c>
      <c r="AR26" s="65">
        <f>SUM(AR6:AR25)</f>
        <v>2013481.724350802</v>
      </c>
      <c r="AS26" s="67">
        <f>SUM(AS6:AS25)</f>
        <v>3320433.0493705873</v>
      </c>
      <c r="AT26" s="65">
        <f>SUM(AT6:AT25)</f>
        <v>18301782.43788674</v>
      </c>
      <c r="AU26" s="68"/>
      <c r="AV26" s="65">
        <f>SUM(AV6:AV25)</f>
        <v>6532141.351552132</v>
      </c>
      <c r="AW26" s="65">
        <f>SUM(AW6:AW25)</f>
        <v>2029816.461369416</v>
      </c>
      <c r="AX26" s="67">
        <f>SUM(AX6:AX25)</f>
        <v>3981660.134182716</v>
      </c>
      <c r="AY26" s="65">
        <f>SUM(AY6:AY25)</f>
        <v>18428681.547038738</v>
      </c>
      <c r="AZ26" s="68"/>
      <c r="BA26" s="65">
        <f>SUM(BA6:BA25)</f>
        <v>7353566.687202526</v>
      </c>
      <c r="BB26" s="65">
        <f>SUM(BB6:BB25)</f>
        <v>2046323.776485302</v>
      </c>
      <c r="BC26" s="67">
        <f>SUM(BC6:BC25)</f>
        <v>4786578.1547172265</v>
      </c>
      <c r="BD26" s="77">
        <f>SUM(BD6:BD25)</f>
        <v>18557318.83386653</v>
      </c>
      <c r="BE26" s="83"/>
      <c r="BF26" s="77">
        <f>SUM(BF6:BF25)</f>
        <v>8353142.743886733</v>
      </c>
      <c r="BG26" s="77">
        <f>SUM(BG6:BG25)</f>
        <v>2063005.9230960277</v>
      </c>
      <c r="BH26" s="79">
        <f>SUM(BH6:BH25)</f>
        <v>5769472.064790709</v>
      </c>
    </row>
  </sheetData>
  <mergeCells count="12">
    <mergeCell ref="B5:E5"/>
    <mergeCell ref="AE5:AI5"/>
    <mergeCell ref="K5:O5"/>
    <mergeCell ref="F5:J5"/>
    <mergeCell ref="BD5:BH5"/>
    <mergeCell ref="Z5:AD5"/>
    <mergeCell ref="U5:Y5"/>
    <mergeCell ref="P5:T5"/>
    <mergeCell ref="AT5:AX5"/>
    <mergeCell ref="AO5:AS5"/>
    <mergeCell ref="AJ5:AN5"/>
    <mergeCell ref="AY5:BC5"/>
  </mergeCells>
  <hyperlinks>
    <hyperlink ref="A1" location="Presentation!A1" display="Back to presentation"/>
    <hyperlink ref="A2" location="Parameters!A1" display="Go to change the main model parameters"/>
    <hyperlink ref="C2" location="'Total costs'!A1" display="Go to see the cost estimates"/>
  </hyperlinks>
  <printOptions/>
  <pageMargins left="0.75" right="0.75" top="1" bottom="1" header="0" footer="0"/>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Z28"/>
  <sheetViews>
    <sheetView zoomScale="75" zoomScaleNormal="75" workbookViewId="0" topLeftCell="A1">
      <selection activeCell="A2" sqref="A2"/>
    </sheetView>
  </sheetViews>
  <sheetFormatPr defaultColWidth="9.140625" defaultRowHeight="12.75"/>
  <cols>
    <col min="1" max="1" width="30.28125" style="0" bestFit="1" customWidth="1"/>
    <col min="2" max="11" width="15.7109375" style="0" customWidth="1"/>
    <col min="12" max="12" width="14.8515625" style="0" customWidth="1"/>
    <col min="13" max="13" width="11.28125" style="0" customWidth="1"/>
    <col min="14" max="14" width="12.57421875" style="0" customWidth="1"/>
    <col min="15" max="15" width="11.57421875" style="0" bestFit="1" customWidth="1"/>
    <col min="16" max="16" width="11.57421875" style="0" customWidth="1"/>
    <col min="17" max="17" width="14.28125" style="0" bestFit="1" customWidth="1"/>
    <col min="18" max="18" width="12.7109375" style="0" bestFit="1" customWidth="1"/>
    <col min="19" max="22" width="14.140625" style="0" customWidth="1"/>
    <col min="23" max="16384" width="11.421875" style="0" customWidth="1"/>
  </cols>
  <sheetData>
    <row r="1" spans="1:11" ht="12.75">
      <c r="A1" s="48" t="s">
        <v>81</v>
      </c>
      <c r="B1" s="48" t="s">
        <v>79</v>
      </c>
      <c r="C1" s="48"/>
      <c r="D1" s="48"/>
      <c r="E1" s="48"/>
      <c r="F1" s="48"/>
      <c r="G1" s="48"/>
      <c r="H1" s="48"/>
      <c r="I1" s="48"/>
      <c r="J1" s="48"/>
      <c r="K1" s="48"/>
    </row>
    <row r="2" spans="1:11" ht="12.75">
      <c r="A2" s="48" t="s">
        <v>82</v>
      </c>
      <c r="B2" s="19"/>
      <c r="C2" s="19"/>
      <c r="D2" s="19"/>
      <c r="E2" s="19"/>
      <c r="F2" s="19"/>
      <c r="G2" s="19"/>
      <c r="H2" s="19"/>
      <c r="I2" s="19"/>
      <c r="J2" s="19"/>
      <c r="K2" s="19"/>
    </row>
    <row r="3" spans="1:26" ht="12.75">
      <c r="A3" s="69"/>
      <c r="B3" s="19"/>
      <c r="C3" s="19"/>
      <c r="D3" s="19"/>
      <c r="E3" s="19"/>
      <c r="F3" s="19"/>
      <c r="G3" s="19"/>
      <c r="H3" s="19"/>
      <c r="I3" s="19"/>
      <c r="J3" s="19"/>
      <c r="K3" s="19"/>
      <c r="S3" s="108" t="s">
        <v>108</v>
      </c>
      <c r="T3" s="108"/>
      <c r="U3" s="108"/>
      <c r="V3" s="108"/>
      <c r="W3" s="108" t="s">
        <v>109</v>
      </c>
      <c r="X3" s="108"/>
      <c r="Y3" s="108"/>
      <c r="Z3" s="108"/>
    </row>
    <row r="4" spans="1:26" ht="12.75">
      <c r="A4" s="106"/>
      <c r="B4" s="107" t="s">
        <v>91</v>
      </c>
      <c r="C4" s="107" t="s">
        <v>90</v>
      </c>
      <c r="D4" s="107" t="s">
        <v>89</v>
      </c>
      <c r="E4" s="107" t="s">
        <v>88</v>
      </c>
      <c r="F4" s="107" t="s">
        <v>87</v>
      </c>
      <c r="G4" s="107" t="s">
        <v>59</v>
      </c>
      <c r="H4" s="107" t="s">
        <v>92</v>
      </c>
      <c r="I4" s="107" t="s">
        <v>93</v>
      </c>
      <c r="J4" s="107" t="s">
        <v>94</v>
      </c>
      <c r="K4" s="107" t="s">
        <v>95</v>
      </c>
      <c r="L4" s="107" t="s">
        <v>60</v>
      </c>
      <c r="M4" s="106" t="s">
        <v>53</v>
      </c>
      <c r="N4" s="106"/>
      <c r="O4" s="98">
        <v>2010</v>
      </c>
      <c r="P4" s="106"/>
      <c r="Q4" s="106">
        <v>2015</v>
      </c>
      <c r="R4" s="106"/>
      <c r="S4" s="98" t="s">
        <v>106</v>
      </c>
      <c r="T4" s="106"/>
      <c r="U4" s="106" t="s">
        <v>107</v>
      </c>
      <c r="V4" s="106"/>
      <c r="W4" s="98" t="s">
        <v>106</v>
      </c>
      <c r="X4" s="106"/>
      <c r="Y4" s="106" t="s">
        <v>107</v>
      </c>
      <c r="Z4" s="106"/>
    </row>
    <row r="5" spans="1:26" ht="38.25">
      <c r="A5" s="106"/>
      <c r="B5" s="107"/>
      <c r="C5" s="107"/>
      <c r="D5" s="107"/>
      <c r="E5" s="107"/>
      <c r="F5" s="107"/>
      <c r="G5" s="107"/>
      <c r="H5" s="107"/>
      <c r="I5" s="107"/>
      <c r="J5" s="107"/>
      <c r="K5" s="107"/>
      <c r="L5" s="107"/>
      <c r="M5" s="3" t="s">
        <v>48</v>
      </c>
      <c r="N5" s="3" t="s">
        <v>46</v>
      </c>
      <c r="O5" s="34" t="s">
        <v>86</v>
      </c>
      <c r="P5" s="3" t="s">
        <v>61</v>
      </c>
      <c r="Q5" s="3" t="s">
        <v>86</v>
      </c>
      <c r="R5" s="3" t="s">
        <v>61</v>
      </c>
      <c r="S5" s="39" t="s">
        <v>110</v>
      </c>
      <c r="T5" s="39" t="s">
        <v>46</v>
      </c>
      <c r="U5" s="39" t="s">
        <v>110</v>
      </c>
      <c r="V5" s="39" t="s">
        <v>46</v>
      </c>
      <c r="W5" s="39" t="s">
        <v>110</v>
      </c>
      <c r="X5" s="39" t="s">
        <v>46</v>
      </c>
      <c r="Y5" s="39" t="s">
        <v>110</v>
      </c>
      <c r="Z5" s="39" t="s">
        <v>46</v>
      </c>
    </row>
    <row r="6" spans="1:26" ht="12.75">
      <c r="A6" s="6" t="s">
        <v>1</v>
      </c>
      <c r="B6" s="35">
        <f>+'Scenarios (Qs)'!J6</f>
        <v>14070.548004054286</v>
      </c>
      <c r="C6" s="35">
        <f>+'Scenarios (Qs)'!O6</f>
        <v>31960.000381130554</v>
      </c>
      <c r="D6" s="35">
        <f>+'Scenarios (Qs)'!T6</f>
        <v>54664.479977707</v>
      </c>
      <c r="E6" s="35">
        <f>+'Scenarios (Qs)'!Y6</f>
        <v>83439.27111719239</v>
      </c>
      <c r="F6" s="35">
        <f>+'Scenarios (Qs)'!AD6</f>
        <v>119866.23422004552</v>
      </c>
      <c r="G6" s="35">
        <f>+'Scenarios (Qs)'!AI6</f>
        <v>165938.7565168441</v>
      </c>
      <c r="H6" s="35">
        <f>+'Scenarios (Qs)'!AN6</f>
        <v>202739.53484115042</v>
      </c>
      <c r="I6" s="35">
        <f>+'Scenarios (Qs)'!AS6</f>
        <v>245740.951265746</v>
      </c>
      <c r="J6" s="35">
        <f>+'Scenarios (Qs)'!AX6</f>
        <v>295971.5077781389</v>
      </c>
      <c r="K6" s="35">
        <f>+'Scenarios (Qs)'!BC6</f>
        <v>354630.0288984812</v>
      </c>
      <c r="L6" s="35">
        <f>+'Scenarios (Qs)'!BH6</f>
        <v>423113.8627811026</v>
      </c>
      <c r="M6" s="35">
        <f>+Parameters!H22</f>
        <v>121.97363543914007</v>
      </c>
      <c r="N6" s="35">
        <f>+Parameters!I22</f>
        <v>266.8173275231189</v>
      </c>
      <c r="O6" s="44">
        <f>+G6*M6/1000000</f>
        <v>20.24015339260977</v>
      </c>
      <c r="P6" s="70">
        <f>+G6*N6/1000000</f>
        <v>44.275335546333864</v>
      </c>
      <c r="Q6" s="44">
        <f>+L6*M6/1000000</f>
        <v>51.60873604810854</v>
      </c>
      <c r="R6" s="44">
        <f>+L6*N6/1000000</f>
        <v>112.89411010523743</v>
      </c>
      <c r="S6" s="84">
        <f>+SUM(B6:G6)*M6/1000000</f>
        <v>57.320203663453405</v>
      </c>
      <c r="T6" s="84">
        <f>+SUM(B6:G6)*N6/1000000</f>
        <v>125.38794551380431</v>
      </c>
      <c r="U6" s="84">
        <f>+SUM(B6:L6)*M6/1000000</f>
        <v>242.98796967627123</v>
      </c>
      <c r="V6" s="84">
        <f>+SUM(B6:L6)*N6/1000000</f>
        <v>531.5361836668433</v>
      </c>
      <c r="W6" s="84">
        <f>+S6/6</f>
        <v>9.553367277242234</v>
      </c>
      <c r="X6" s="84">
        <f aca="true" t="shared" si="0" ref="X6:X25">+T6/6</f>
        <v>20.897990918967384</v>
      </c>
      <c r="Y6" s="84">
        <f>+U6/11</f>
        <v>22.089815425115567</v>
      </c>
      <c r="Z6" s="84">
        <f>+V6/11</f>
        <v>48.321471242440296</v>
      </c>
    </row>
    <row r="7" spans="1:26" ht="12.75">
      <c r="A7" s="6" t="s">
        <v>2</v>
      </c>
      <c r="B7" s="35">
        <f>+'Scenarios (Qs)'!J7</f>
        <v>493.16207548987916</v>
      </c>
      <c r="C7" s="35">
        <f>+'Scenarios (Qs)'!O7</f>
        <v>1000.0337807825487</v>
      </c>
      <c r="D7" s="35">
        <f>+'Scenarios (Qs)'!T7</f>
        <v>1520.9962359167764</v>
      </c>
      <c r="E7" s="35">
        <f>+'Scenarios (Qs)'!Y7</f>
        <v>2056.4411558551906</v>
      </c>
      <c r="F7" s="35">
        <f>+'Scenarios (Qs)'!AD7</f>
        <v>2606.7711450172424</v>
      </c>
      <c r="G7" s="35">
        <f>+'Scenarios (Qs)'!AI7</f>
        <v>3172.4000000000083</v>
      </c>
      <c r="H7" s="35">
        <f>+'Scenarios (Qs)'!AN7</f>
        <v>3172.4000000000083</v>
      </c>
      <c r="I7" s="35">
        <f>+'Scenarios (Qs)'!AS7</f>
        <v>3172.4000000000083</v>
      </c>
      <c r="J7" s="35">
        <f>+'Scenarios (Qs)'!AX7</f>
        <v>3172.4000000000083</v>
      </c>
      <c r="K7" s="35">
        <f>+'Scenarios (Qs)'!BC7</f>
        <v>3172.4000000000083</v>
      </c>
      <c r="L7" s="35">
        <f>+'Scenarios (Qs)'!BH7</f>
        <v>3172.4000000000083</v>
      </c>
      <c r="M7" s="35">
        <f>+Parameters!H23</f>
        <v>814.2991332793305</v>
      </c>
      <c r="N7" s="35">
        <f>+Parameters!I23</f>
        <v>1717.6622342610879</v>
      </c>
      <c r="O7" s="44">
        <f>+G7*M7/1000000</f>
        <v>2.5832825704153546</v>
      </c>
      <c r="P7" s="44">
        <f>+G7*N7/1000000</f>
        <v>5.44911167196989</v>
      </c>
      <c r="Q7" s="44">
        <f>+L7*M7/1000000</f>
        <v>2.5832825704153546</v>
      </c>
      <c r="R7" s="44">
        <f>+L7*N7/1000000</f>
        <v>5.44911167196989</v>
      </c>
      <c r="S7" s="84">
        <f aca="true" t="shared" si="1" ref="S7:S25">+SUM(B7:G7)*M7/1000000</f>
        <v>8.83498631352037</v>
      </c>
      <c r="T7" s="84">
        <f aca="true" t="shared" si="2" ref="T7:T25">+SUM(B7:G7)*N7/1000000</f>
        <v>18.636299255082033</v>
      </c>
      <c r="U7" s="84">
        <f aca="true" t="shared" si="3" ref="U7:U25">+SUM(B7:L7)*M7/1000000</f>
        <v>21.751399165597146</v>
      </c>
      <c r="V7" s="84">
        <f aca="true" t="shared" si="4" ref="V7:V25">+SUM(B7:L7)*N7/1000000</f>
        <v>45.88185761493148</v>
      </c>
      <c r="W7" s="84">
        <f aca="true" t="shared" si="5" ref="W7:W25">+S7/6</f>
        <v>1.4724977189200616</v>
      </c>
      <c r="X7" s="84">
        <f t="shared" si="0"/>
        <v>3.1060498758470056</v>
      </c>
      <c r="Y7" s="84">
        <f aca="true" t="shared" si="6" ref="Y7:Y25">+U7/11</f>
        <v>1.9773999241451952</v>
      </c>
      <c r="Z7" s="84">
        <f aca="true" t="shared" si="7" ref="Z7:Z25">+V7/11</f>
        <v>4.171077964993771</v>
      </c>
    </row>
    <row r="8" spans="1:26" ht="12.75">
      <c r="A8" s="6" t="s">
        <v>3</v>
      </c>
      <c r="B8" s="35">
        <f>+'Scenarios (Qs)'!J8</f>
        <v>405.5732542010427</v>
      </c>
      <c r="C8" s="35">
        <f>+'Scenarios (Qs)'!O8</f>
        <v>1017.7889737643136</v>
      </c>
      <c r="D8" s="35">
        <f>+'Scenarios (Qs)'!T8</f>
        <v>1941.6714308610835</v>
      </c>
      <c r="E8" s="35">
        <f>+'Scenarios (Qs)'!Y8</f>
        <v>3335.6221556896253</v>
      </c>
      <c r="F8" s="35">
        <f>+'Scenarios (Qs)'!AD8</f>
        <v>5438.5482520538335</v>
      </c>
      <c r="G8" s="35">
        <f>+'Scenarios (Qs)'!AI8</f>
        <v>8610.77833585976</v>
      </c>
      <c r="H8" s="35">
        <f>+'Scenarios (Qs)'!AN8</f>
        <v>8609.751544336237</v>
      </c>
      <c r="I8" s="35">
        <f>+'Scenarios (Qs)'!AS8</f>
        <v>8608.72304716955</v>
      </c>
      <c r="J8" s="35">
        <f>+'Scenarios (Qs)'!AX8</f>
        <v>8607.692841526386</v>
      </c>
      <c r="K8" s="35">
        <f>+'Scenarios (Qs)'!BC8</f>
        <v>8606.66092456873</v>
      </c>
      <c r="L8" s="35">
        <f>+'Scenarios (Qs)'!BH8</f>
        <v>8605.627293453854</v>
      </c>
      <c r="M8" s="35">
        <f>+Parameters!H24</f>
        <v>22.936847582859308</v>
      </c>
      <c r="N8" s="35">
        <f>+Parameters!I24</f>
        <v>102.14064939242036</v>
      </c>
      <c r="O8" s="44">
        <f>+G8*M8/1000000</f>
        <v>0.19750411025940226</v>
      </c>
      <c r="P8" s="44">
        <f>+G8*N8/1000000</f>
        <v>0.8795104909989007</v>
      </c>
      <c r="Q8" s="44">
        <f>+L8*M8/1000000</f>
        <v>0.19738596158484512</v>
      </c>
      <c r="R8" s="44">
        <f>+L8*N8/1000000</f>
        <v>0.8789843601825134</v>
      </c>
      <c r="S8" s="84">
        <f t="shared" si="1"/>
        <v>0.4759391837115419</v>
      </c>
      <c r="T8" s="84">
        <f t="shared" si="2"/>
        <v>2.1194166774654604</v>
      </c>
      <c r="U8" s="84">
        <f t="shared" si="3"/>
        <v>1.463105681181435</v>
      </c>
      <c r="V8" s="84">
        <f t="shared" si="4"/>
        <v>6.515392486511078</v>
      </c>
      <c r="W8" s="84">
        <f t="shared" si="5"/>
        <v>0.07932319728525698</v>
      </c>
      <c r="X8" s="84">
        <f t="shared" si="0"/>
        <v>0.35323611291091006</v>
      </c>
      <c r="Y8" s="84">
        <f t="shared" si="6"/>
        <v>0.13300960738013046</v>
      </c>
      <c r="Z8" s="84">
        <f t="shared" si="7"/>
        <v>0.5923084078646434</v>
      </c>
    </row>
    <row r="9" spans="1:26" ht="12.75">
      <c r="A9" s="6" t="s">
        <v>4</v>
      </c>
      <c r="B9" s="35">
        <f>+'Scenarios (Qs)'!J9</f>
        <v>44016.851887457655</v>
      </c>
      <c r="C9" s="35">
        <f>+'Scenarios (Qs)'!O9</f>
        <v>92727.77867358923</v>
      </c>
      <c r="D9" s="35">
        <f>+'Scenarios (Qs)'!T9</f>
        <v>146606.2124251785</v>
      </c>
      <c r="E9" s="35">
        <f>+'Scenarios (Qs)'!Y9</f>
        <v>206173.08265690034</v>
      </c>
      <c r="F9" s="35">
        <f>+'Scenarios (Qs)'!AD9</f>
        <v>272001.57908444316</v>
      </c>
      <c r="G9" s="35">
        <f>+'Scenarios (Qs)'!AI9</f>
        <v>344722.3919330463</v>
      </c>
      <c r="H9" s="35">
        <f>+'Scenarios (Qs)'!AN9</f>
        <v>507280.9980348769</v>
      </c>
      <c r="I9" s="35">
        <f>+'Scenarios (Qs)'!AS9</f>
        <v>702798.1916435944</v>
      </c>
      <c r="J9" s="35">
        <f>+'Scenarios (Qs)'!AX9</f>
        <v>937836.2536088933</v>
      </c>
      <c r="K9" s="35">
        <f>+'Scenarios (Qs)'!BC9</f>
        <v>1220262.899105824</v>
      </c>
      <c r="L9" s="35">
        <f>+'Scenarios (Qs)'!BH9</f>
        <v>1559510.956213879</v>
      </c>
      <c r="M9" s="35">
        <f>+Parameters!H25</f>
        <v>56.414883391369145</v>
      </c>
      <c r="N9" s="35">
        <f>+Parameters!I25</f>
        <v>145.44462124337355</v>
      </c>
      <c r="O9" s="44">
        <f>+G9*M9/1000000</f>
        <v>19.447473543296656</v>
      </c>
      <c r="P9" s="44">
        <f>+G9*N9/1000000</f>
        <v>50.13801772881168</v>
      </c>
      <c r="Q9" s="44">
        <f>+L9*M9/1000000</f>
        <v>87.97962874236858</v>
      </c>
      <c r="R9" s="44">
        <f>+L9*N9/1000000</f>
        <v>226.82248035141893</v>
      </c>
      <c r="S9" s="84">
        <f t="shared" si="1"/>
        <v>62.40884609205599</v>
      </c>
      <c r="T9" s="84">
        <f t="shared" si="2"/>
        <v>160.8978063310818</v>
      </c>
      <c r="U9" s="84">
        <f t="shared" si="3"/>
        <v>340.4038632618713</v>
      </c>
      <c r="V9" s="84">
        <f t="shared" si="4"/>
        <v>877.6037099720118</v>
      </c>
      <c r="W9" s="84">
        <f t="shared" si="5"/>
        <v>10.401474348675999</v>
      </c>
      <c r="X9" s="84">
        <f t="shared" si="0"/>
        <v>26.8163010551803</v>
      </c>
      <c r="Y9" s="84">
        <f t="shared" si="6"/>
        <v>30.94580575107921</v>
      </c>
      <c r="Z9" s="84">
        <f t="shared" si="7"/>
        <v>79.78215545200106</v>
      </c>
    </row>
    <row r="10" spans="1:26" ht="12.75">
      <c r="A10" s="6" t="s">
        <v>5</v>
      </c>
      <c r="B10" s="35" t="str">
        <f>+'Scenarios (Qs)'!J10</f>
        <v>…</v>
      </c>
      <c r="C10" s="35" t="str">
        <f>+'Scenarios (Qs)'!O10</f>
        <v>…</v>
      </c>
      <c r="D10" s="35" t="str">
        <f>+'Scenarios (Qs)'!T10</f>
        <v>…</v>
      </c>
      <c r="E10" s="35" t="str">
        <f>+'Scenarios (Qs)'!Y10</f>
        <v>…</v>
      </c>
      <c r="F10" s="35" t="str">
        <f>+'Scenarios (Qs)'!AD10</f>
        <v>…</v>
      </c>
      <c r="G10" s="35" t="str">
        <f>+'Scenarios (Qs)'!AI10</f>
        <v>…</v>
      </c>
      <c r="H10" s="35" t="str">
        <f>+'Scenarios (Qs)'!AN10</f>
        <v>…</v>
      </c>
      <c r="I10" s="35" t="str">
        <f>+'Scenarios (Qs)'!AS10</f>
        <v>…</v>
      </c>
      <c r="J10" s="35" t="str">
        <f>+'Scenarios (Qs)'!AX10</f>
        <v>…</v>
      </c>
      <c r="K10" s="35" t="str">
        <f>+'Scenarios (Qs)'!BC10</f>
        <v>…</v>
      </c>
      <c r="L10" s="35" t="str">
        <f>+'Scenarios (Qs)'!BH10</f>
        <v>…</v>
      </c>
      <c r="M10" s="35" t="str">
        <f>+Parameters!H26</f>
        <v>…</v>
      </c>
      <c r="N10" s="35" t="str">
        <f>+Parameters!I26</f>
        <v>…</v>
      </c>
      <c r="O10" s="35" t="s">
        <v>34</v>
      </c>
      <c r="P10" s="35" t="s">
        <v>34</v>
      </c>
      <c r="Q10" s="35" t="s">
        <v>34</v>
      </c>
      <c r="R10" s="35" t="s">
        <v>34</v>
      </c>
      <c r="S10" s="35" t="s">
        <v>34</v>
      </c>
      <c r="T10" s="35" t="s">
        <v>34</v>
      </c>
      <c r="U10" s="35" t="s">
        <v>34</v>
      </c>
      <c r="V10" s="35" t="s">
        <v>34</v>
      </c>
      <c r="W10" s="35" t="s">
        <v>34</v>
      </c>
      <c r="X10" s="35" t="s">
        <v>34</v>
      </c>
      <c r="Y10" s="35" t="s">
        <v>34</v>
      </c>
      <c r="Z10" s="35" t="s">
        <v>34</v>
      </c>
    </row>
    <row r="11" spans="1:26" ht="12.75">
      <c r="A11" s="6" t="s">
        <v>6</v>
      </c>
      <c r="B11" s="35">
        <f>+'Scenarios (Qs)'!J11</f>
        <v>6159.023101752704</v>
      </c>
      <c r="C11" s="35">
        <f>+'Scenarios (Qs)'!O11</f>
        <v>12768.123102545025</v>
      </c>
      <c r="D11" s="35">
        <f>+'Scenarios (Qs)'!T11</f>
        <v>19859.559625573893</v>
      </c>
      <c r="E11" s="35">
        <f>+'Scenarios (Qs)'!Y11</f>
        <v>27467.90318400744</v>
      </c>
      <c r="F11" s="35">
        <f>+'Scenarios (Qs)'!AD11</f>
        <v>35630.20071664814</v>
      </c>
      <c r="G11" s="35">
        <f>+'Scenarios (Qs)'!AI11</f>
        <v>44386.15298138358</v>
      </c>
      <c r="H11" s="35">
        <f>+'Scenarios (Qs)'!AN11</f>
        <v>44256.49793747727</v>
      </c>
      <c r="I11" s="35">
        <f>+'Scenarios (Qs)'!AS11</f>
        <v>44126.56072540833</v>
      </c>
      <c r="J11" s="35">
        <f>+'Scenarios (Qs)'!AX11</f>
        <v>43996.3407310944</v>
      </c>
      <c r="K11" s="35">
        <f>+'Scenarios (Qs)'!BC11</f>
        <v>43865.83733911674</v>
      </c>
      <c r="L11" s="35">
        <f>+'Scenarios (Qs)'!BH11</f>
        <v>43735.049932717244</v>
      </c>
      <c r="M11" s="35">
        <f>+Parameters!H27</f>
        <v>85.0725193320516</v>
      </c>
      <c r="N11" s="35">
        <f>+Parameters!I27</f>
        <v>239.2664606213951</v>
      </c>
      <c r="O11" s="44">
        <f>+G11*M11/1000000</f>
        <v>3.776041857584154</v>
      </c>
      <c r="P11" s="44">
        <f>+G11*N11/1000000</f>
        <v>10.620117724455433</v>
      </c>
      <c r="Q11" s="44">
        <f>+L11*M11/1000000</f>
        <v>3.7206508808893295</v>
      </c>
      <c r="R11" s="44">
        <f>+L11*N11/1000000</f>
        <v>10.46433060250124</v>
      </c>
      <c r="S11" s="84">
        <f t="shared" si="1"/>
        <v>12.443639303026828</v>
      </c>
      <c r="T11" s="84">
        <f t="shared" si="2"/>
        <v>34.99773553976295</v>
      </c>
      <c r="U11" s="84">
        <f t="shared" si="3"/>
        <v>31.157916493074538</v>
      </c>
      <c r="V11" s="84">
        <f t="shared" si="4"/>
        <v>87.63164013677212</v>
      </c>
      <c r="W11" s="84">
        <f t="shared" si="5"/>
        <v>2.0739398838378045</v>
      </c>
      <c r="X11" s="84">
        <f t="shared" si="0"/>
        <v>5.832955923293825</v>
      </c>
      <c r="Y11" s="84">
        <f t="shared" si="6"/>
        <v>2.832537863006776</v>
      </c>
      <c r="Z11" s="84">
        <f t="shared" si="7"/>
        <v>7.966512739706556</v>
      </c>
    </row>
    <row r="12" spans="1:26" ht="12.75">
      <c r="A12" s="6" t="s">
        <v>7</v>
      </c>
      <c r="B12" s="35">
        <f>+'Scenarios (Qs)'!J12</f>
        <v>1613.9509348774009</v>
      </c>
      <c r="C12" s="35">
        <f>+'Scenarios (Qs)'!O12</f>
        <v>3286.6310005620253</v>
      </c>
      <c r="D12" s="35">
        <f>+'Scenarios (Qs)'!T12</f>
        <v>5020.100066269595</v>
      </c>
      <c r="E12" s="35">
        <f>+'Scenarios (Qs)'!Y12</f>
        <v>6816.488738208493</v>
      </c>
      <c r="F12" s="35">
        <f>+'Scenarios (Qs)'!AD12</f>
        <v>8678.000758039954</v>
      </c>
      <c r="G12" s="35">
        <f>+'Scenarios (Qs)'!AI12</f>
        <v>10606.915482025586</v>
      </c>
      <c r="H12" s="35">
        <f>+'Scenarios (Qs)'!AN12</f>
        <v>12376.61469432612</v>
      </c>
      <c r="I12" s="35">
        <f>+'Scenarios (Qs)'!AS12</f>
        <v>14204.011960961077</v>
      </c>
      <c r="J12" s="35">
        <f>+'Scenarios (Qs)'!AX12</f>
        <v>16090.939959902935</v>
      </c>
      <c r="K12" s="35">
        <f>+'Scenarios (Qs)'!BC12</f>
        <v>18039.28861900171</v>
      </c>
      <c r="L12" s="35">
        <f>+'Scenarios (Qs)'!BH12</f>
        <v>20051.00688478232</v>
      </c>
      <c r="M12" s="35">
        <f>+Parameters!H28</f>
        <v>1032.3639493955009</v>
      </c>
      <c r="N12" s="35">
        <f>+Parameters!I28</f>
        <v>2177.642705756135</v>
      </c>
      <c r="O12" s="44">
        <f>+G12*M12/1000000</f>
        <v>10.950197157928217</v>
      </c>
      <c r="P12" s="44">
        <f>+G12*N12/1000000</f>
        <v>23.098072130004837</v>
      </c>
      <c r="Q12" s="44">
        <f>+L12*M12/1000000</f>
        <v>20.699936656930255</v>
      </c>
      <c r="R12" s="44">
        <f>+L12*N12/1000000</f>
        <v>43.66392888571227</v>
      </c>
      <c r="S12" s="84">
        <f t="shared" si="1"/>
        <v>37.18790398012356</v>
      </c>
      <c r="T12" s="84">
        <f t="shared" si="2"/>
        <v>78.44323495807313</v>
      </c>
      <c r="U12" s="84">
        <f t="shared" si="3"/>
        <v>120.5635389178026</v>
      </c>
      <c r="V12" s="84">
        <f t="shared" si="4"/>
        <v>254.31371490473992</v>
      </c>
      <c r="W12" s="84">
        <f t="shared" si="5"/>
        <v>6.19798399668726</v>
      </c>
      <c r="X12" s="84">
        <f t="shared" si="0"/>
        <v>13.073872493012189</v>
      </c>
      <c r="Y12" s="84">
        <f t="shared" si="6"/>
        <v>10.960321719800236</v>
      </c>
      <c r="Z12" s="84">
        <f t="shared" si="7"/>
        <v>23.11942862770363</v>
      </c>
    </row>
    <row r="13" spans="1:26" ht="12.75">
      <c r="A13" s="6" t="s">
        <v>8</v>
      </c>
      <c r="B13" s="35">
        <f>+'Scenarios (Qs)'!J13</f>
        <v>4839.575745114322</v>
      </c>
      <c r="C13" s="35">
        <f>+'Scenarios (Qs)'!O13</f>
        <v>9840.13668377998</v>
      </c>
      <c r="D13" s="35">
        <f>+'Scenarios (Qs)'!T13</f>
        <v>15006.89271201555</v>
      </c>
      <c r="E13" s="35">
        <f>+'Scenarios (Qs)'!Y13</f>
        <v>20345.222156690383</v>
      </c>
      <c r="F13" s="35">
        <f>+'Scenarios (Qs)'!AD13</f>
        <v>25860.677220512756</v>
      </c>
      <c r="G13" s="35">
        <f>+'Scenarios (Qs)'!AI13</f>
        <v>31558.989603042493</v>
      </c>
      <c r="H13" s="35">
        <f>+'Scenarios (Qs)'!AN13</f>
        <v>31527.17032945535</v>
      </c>
      <c r="I13" s="35">
        <f>+'Scenarios (Qs)'!AS13</f>
        <v>31495.23997697485</v>
      </c>
      <c r="J13" s="35">
        <f>+'Scenarios (Qs)'!AX13</f>
        <v>31463.198363782554</v>
      </c>
      <c r="K13" s="35">
        <f>+'Scenarios (Qs)'!BC13</f>
        <v>31431.045307807573</v>
      </c>
      <c r="L13" s="35">
        <f>+'Scenarios (Qs)'!BH13</f>
        <v>31398.78062672617</v>
      </c>
      <c r="M13" s="35">
        <f>+Parameters!H29</f>
        <v>412.8744967292231</v>
      </c>
      <c r="N13" s="35">
        <f>+Parameters!I29</f>
        <v>709.6280412533522</v>
      </c>
      <c r="O13" s="44">
        <f>+G13*M13/1000000</f>
        <v>13.029901949638953</v>
      </c>
      <c r="P13" s="44">
        <f>+G13*N13/1000000</f>
        <v>22.395143975941952</v>
      </c>
      <c r="Q13" s="44">
        <f>+L13*M13/1000000</f>
        <v>12.963755749170847</v>
      </c>
      <c r="R13" s="44">
        <f>+L13*N13/1000000</f>
        <v>22.281455193887393</v>
      </c>
      <c r="S13" s="84">
        <f t="shared" si="1"/>
        <v>44.36398155807514</v>
      </c>
      <c r="T13" s="84">
        <f t="shared" si="2"/>
        <v>76.25059330294165</v>
      </c>
      <c r="U13" s="84">
        <f t="shared" si="3"/>
        <v>109.31551244824885</v>
      </c>
      <c r="V13" s="84">
        <f t="shared" si="4"/>
        <v>187.8860370204277</v>
      </c>
      <c r="W13" s="84">
        <f t="shared" si="5"/>
        <v>7.3939969263458565</v>
      </c>
      <c r="X13" s="84">
        <f t="shared" si="0"/>
        <v>12.708432217156941</v>
      </c>
      <c r="Y13" s="84">
        <f t="shared" si="6"/>
        <v>9.937773858931713</v>
      </c>
      <c r="Z13" s="84">
        <f t="shared" si="7"/>
        <v>17.08054882003888</v>
      </c>
    </row>
    <row r="14" spans="1:26" ht="12.75">
      <c r="A14" s="6" t="s">
        <v>9</v>
      </c>
      <c r="B14" s="35" t="str">
        <f>+'Scenarios (Qs)'!J14</f>
        <v>…</v>
      </c>
      <c r="C14" s="35" t="str">
        <f>+'Scenarios (Qs)'!O14</f>
        <v>…</v>
      </c>
      <c r="D14" s="35" t="str">
        <f>+'Scenarios (Qs)'!T14</f>
        <v>…</v>
      </c>
      <c r="E14" s="35" t="str">
        <f>+'Scenarios (Qs)'!Y14</f>
        <v>…</v>
      </c>
      <c r="F14" s="35" t="str">
        <f>+'Scenarios (Qs)'!AD14</f>
        <v>…</v>
      </c>
      <c r="G14" s="35" t="str">
        <f>+'Scenarios (Qs)'!AI14</f>
        <v>…</v>
      </c>
      <c r="H14" s="35" t="str">
        <f>+'Scenarios (Qs)'!AN14</f>
        <v>…</v>
      </c>
      <c r="I14" s="35" t="str">
        <f>+'Scenarios (Qs)'!AS14</f>
        <v>…</v>
      </c>
      <c r="J14" s="35" t="str">
        <f>+'Scenarios (Qs)'!AX14</f>
        <v>…</v>
      </c>
      <c r="K14" s="35" t="str">
        <f>+'Scenarios (Qs)'!BC14</f>
        <v>…</v>
      </c>
      <c r="L14" s="35" t="str">
        <f>+'Scenarios (Qs)'!BH14</f>
        <v>…</v>
      </c>
      <c r="M14" s="35">
        <f>+Parameters!H30</f>
        <v>222.33893436742142</v>
      </c>
      <c r="N14" s="35">
        <f>+Parameters!I30</f>
        <v>521.1068774236439</v>
      </c>
      <c r="O14" s="35" t="s">
        <v>34</v>
      </c>
      <c r="P14" s="35" t="s">
        <v>34</v>
      </c>
      <c r="Q14" s="35" t="s">
        <v>34</v>
      </c>
      <c r="R14" s="35" t="s">
        <v>34</v>
      </c>
      <c r="S14" s="35" t="s">
        <v>34</v>
      </c>
      <c r="T14" s="35" t="s">
        <v>34</v>
      </c>
      <c r="U14" s="35" t="s">
        <v>34</v>
      </c>
      <c r="V14" s="35" t="s">
        <v>34</v>
      </c>
      <c r="W14" s="35" t="s">
        <v>34</v>
      </c>
      <c r="X14" s="35" t="s">
        <v>34</v>
      </c>
      <c r="Y14" s="35" t="s">
        <v>34</v>
      </c>
      <c r="Z14" s="35" t="s">
        <v>34</v>
      </c>
    </row>
    <row r="15" spans="1:26" ht="12.75">
      <c r="A15" s="6" t="s">
        <v>10</v>
      </c>
      <c r="B15" s="35">
        <f>+'Scenarios (Qs)'!J15</f>
        <v>1588.1351018923656</v>
      </c>
      <c r="C15" s="35">
        <f>+'Scenarios (Qs)'!O15</f>
        <v>3762.0472649293915</v>
      </c>
      <c r="D15" s="35">
        <f>+'Scenarios (Qs)'!T15</f>
        <v>6729.117345226502</v>
      </c>
      <c r="E15" s="35">
        <f>+'Scenarios (Qs)'!Y15</f>
        <v>10769.974723299936</v>
      </c>
      <c r="F15" s="35">
        <f>+'Scenarios (Qs)'!AD15</f>
        <v>16264.365786253555</v>
      </c>
      <c r="G15" s="35">
        <f>+'Scenarios (Qs)'!AI15</f>
        <v>23726.15806410665</v>
      </c>
      <c r="H15" s="35">
        <f>+'Scenarios (Qs)'!AN15</f>
        <v>35654.00978047136</v>
      </c>
      <c r="I15" s="35">
        <f>+'Scenarios (Qs)'!AS15</f>
        <v>52571.74506473833</v>
      </c>
      <c r="J15" s="35">
        <f>+'Scenarios (Qs)'!AX15</f>
        <v>76553.53398294022</v>
      </c>
      <c r="K15" s="35">
        <f>+'Scenarios (Qs)'!BC15</f>
        <v>110535.45746336428</v>
      </c>
      <c r="L15" s="35">
        <f>+'Scenarios (Qs)'!BH15</f>
        <v>158673.66447424385</v>
      </c>
      <c r="M15" s="35">
        <f>+Parameters!H31</f>
        <v>12.78012090536775</v>
      </c>
      <c r="N15" s="35">
        <f>+Parameters!I31</f>
        <v>57.909922852447615</v>
      </c>
      <c r="O15" s="44">
        <f aca="true" t="shared" si="8" ref="O15:O22">+G15*M15/1000000</f>
        <v>0.30322316867914906</v>
      </c>
      <c r="P15" s="44">
        <f aca="true" t="shared" si="9" ref="P15:P22">+G15*N15/1000000</f>
        <v>1.373979983077394</v>
      </c>
      <c r="Q15" s="44">
        <f aca="true" t="shared" si="10" ref="Q15:Q22">+L15*M15/1000000</f>
        <v>2.027868616478592</v>
      </c>
      <c r="R15" s="44">
        <f aca="true" t="shared" si="11" ref="R15:R22">+L15*N15/1000000</f>
        <v>9.18877966841862</v>
      </c>
      <c r="S15" s="84">
        <f t="shared" si="1"/>
        <v>0.8031002197602743</v>
      </c>
      <c r="T15" s="84">
        <f t="shared" si="2"/>
        <v>3.639047870788743</v>
      </c>
      <c r="U15" s="84">
        <f t="shared" si="3"/>
        <v>6.349524580875065</v>
      </c>
      <c r="V15" s="84">
        <f t="shared" si="4"/>
        <v>28.771283257090136</v>
      </c>
      <c r="W15" s="84">
        <f t="shared" si="5"/>
        <v>0.13385003662671238</v>
      </c>
      <c r="X15" s="84">
        <f t="shared" si="0"/>
        <v>0.6065079784647905</v>
      </c>
      <c r="Y15" s="84">
        <f t="shared" si="6"/>
        <v>0.5772295073522786</v>
      </c>
      <c r="Z15" s="84">
        <f t="shared" si="7"/>
        <v>2.615571205190012</v>
      </c>
    </row>
    <row r="16" spans="1:26" ht="12.75">
      <c r="A16" s="6" t="s">
        <v>11</v>
      </c>
      <c r="B16" s="35">
        <f>+'Scenarios (Qs)'!J16</f>
        <v>48091.2054520126</v>
      </c>
      <c r="C16" s="35">
        <f>+'Scenarios (Qs)'!O16</f>
        <v>100167.08173893997</v>
      </c>
      <c r="D16" s="35">
        <f>+'Scenarios (Qs)'!T16</f>
        <v>156534.54265909258</v>
      </c>
      <c r="E16" s="35">
        <f>+'Scenarios (Qs)'!Y16</f>
        <v>217524.00605464168</v>
      </c>
      <c r="F16" s="35">
        <f>+'Scenarios (Qs)'!AD16</f>
        <v>283491.19294546044</v>
      </c>
      <c r="G16" s="35">
        <f>+'Scenarios (Qs)'!AI16</f>
        <v>354819.0643735847</v>
      </c>
      <c r="H16" s="35">
        <f>+'Scenarios (Qs)'!AN16</f>
        <v>350756.6331831529</v>
      </c>
      <c r="I16" s="35">
        <f>+'Scenarios (Qs)'!AS16</f>
        <v>346666.0222848408</v>
      </c>
      <c r="J16" s="35">
        <f>+'Scenarios (Qs)'!AX16</f>
        <v>342547.05273489875</v>
      </c>
      <c r="K16" s="35">
        <f>+'Scenarios (Qs)'!BC16</f>
        <v>338399.54445930675</v>
      </c>
      <c r="L16" s="35">
        <f>+'Scenarios (Qs)'!BH16</f>
        <v>334223.3162466355</v>
      </c>
      <c r="M16" s="35">
        <f>+Parameters!H32</f>
        <v>90.10705229312926</v>
      </c>
      <c r="N16" s="35">
        <f>+Parameters!I32</f>
        <v>190.06956343081956</v>
      </c>
      <c r="O16" s="44">
        <f t="shared" si="8"/>
        <v>31.971699988109794</v>
      </c>
      <c r="P16" s="44">
        <f t="shared" si="9"/>
        <v>67.44030466241911</v>
      </c>
      <c r="Q16" s="44">
        <f t="shared" si="10"/>
        <v>30.115877834618665</v>
      </c>
      <c r="R16" s="44">
        <f t="shared" si="11"/>
        <v>63.52567980739875</v>
      </c>
      <c r="S16" s="84">
        <f t="shared" si="1"/>
        <v>104.58068618193342</v>
      </c>
      <c r="T16" s="84">
        <f t="shared" si="2"/>
        <v>220.59988491501585</v>
      </c>
      <c r="U16" s="84">
        <f t="shared" si="3"/>
        <v>258.8973543454264</v>
      </c>
      <c r="V16" s="84">
        <f t="shared" si="4"/>
        <v>546.1116068223839</v>
      </c>
      <c r="W16" s="84">
        <f t="shared" si="5"/>
        <v>17.43011436365557</v>
      </c>
      <c r="X16" s="84">
        <f t="shared" si="0"/>
        <v>36.766647485835975</v>
      </c>
      <c r="Y16" s="84">
        <f t="shared" si="6"/>
        <v>23.53612312231149</v>
      </c>
      <c r="Z16" s="84">
        <f t="shared" si="7"/>
        <v>49.64650971112581</v>
      </c>
    </row>
    <row r="17" spans="1:26" ht="12.75">
      <c r="A17" s="6" t="s">
        <v>12</v>
      </c>
      <c r="B17" s="35">
        <f>+'Scenarios (Qs)'!J17</f>
        <v>1450.7109938113717</v>
      </c>
      <c r="C17" s="35">
        <f>+'Scenarios (Qs)'!O17</f>
        <v>3230.605196846056</v>
      </c>
      <c r="D17" s="35">
        <f>+'Scenarios (Qs)'!T17</f>
        <v>5409.635307787533</v>
      </c>
      <c r="E17" s="35">
        <f>+'Scenarios (Qs)'!Y17</f>
        <v>8072.550909661912</v>
      </c>
      <c r="F17" s="35">
        <f>+'Scenarios (Qs)'!AD17</f>
        <v>11322.027359076701</v>
      </c>
      <c r="G17" s="35">
        <f>+'Scenarios (Qs)'!AI17</f>
        <v>15282.45628145833</v>
      </c>
      <c r="H17" s="35">
        <f>+'Scenarios (Qs)'!AN17</f>
        <v>18332.703323211495</v>
      </c>
      <c r="I17" s="35">
        <f>+'Scenarios (Qs)'!AS17</f>
        <v>21812.036396237236</v>
      </c>
      <c r="J17" s="35">
        <f>+'Scenarios (Qs)'!AX17</f>
        <v>25778.92659748135</v>
      </c>
      <c r="K17" s="35">
        <f>+'Scenarios (Qs)'!BC17</f>
        <v>30299.78463095375</v>
      </c>
      <c r="L17" s="35">
        <f>+'Scenarios (Qs)'!BH17</f>
        <v>35450.03846802689</v>
      </c>
      <c r="M17" s="35">
        <f>+Parameters!H33</f>
        <v>275.19554950530147</v>
      </c>
      <c r="N17" s="35">
        <f>+Parameters!I33</f>
        <v>1074.9826152550838</v>
      </c>
      <c r="O17" s="44">
        <f t="shared" si="8"/>
        <v>4.205663954166671</v>
      </c>
      <c r="P17" s="44">
        <f t="shared" si="9"/>
        <v>16.42837482096356</v>
      </c>
      <c r="Q17" s="44">
        <f t="shared" si="10"/>
        <v>9.755692816192735</v>
      </c>
      <c r="R17" s="44">
        <f t="shared" si="11"/>
        <v>38.10817506325287</v>
      </c>
      <c r="S17" s="84">
        <f t="shared" si="1"/>
        <v>12.31995052090168</v>
      </c>
      <c r="T17" s="84">
        <f t="shared" si="2"/>
        <v>48.12480672227218</v>
      </c>
      <c r="U17" s="84">
        <f t="shared" si="3"/>
        <v>48.55590879599373</v>
      </c>
      <c r="V17" s="84">
        <f t="shared" si="4"/>
        <v>189.6715187343505</v>
      </c>
      <c r="W17" s="84">
        <f t="shared" si="5"/>
        <v>2.0533250868169466</v>
      </c>
      <c r="X17" s="84">
        <f t="shared" si="0"/>
        <v>8.020801120378698</v>
      </c>
      <c r="Y17" s="84">
        <f t="shared" si="6"/>
        <v>4.414173526908521</v>
      </c>
      <c r="Z17" s="84">
        <f t="shared" si="7"/>
        <v>17.24286533948641</v>
      </c>
    </row>
    <row r="18" spans="1:26" ht="12.75">
      <c r="A18" s="6" t="s">
        <v>13</v>
      </c>
      <c r="B18" s="35">
        <f>+'Scenarios (Qs)'!J18</f>
        <v>4227.033478279695</v>
      </c>
      <c r="C18" s="35">
        <f>+'Scenarios (Qs)'!O18</f>
        <v>8840.275363202361</v>
      </c>
      <c r="D18" s="35">
        <f>+'Scenarios (Qs)'!T18</f>
        <v>13870.021095698781</v>
      </c>
      <c r="E18" s="35">
        <f>+'Scenarios (Qs)'!Y18</f>
        <v>19348.877992506572</v>
      </c>
      <c r="F18" s="35">
        <f>+'Scenarios (Qs)'!AD18</f>
        <v>25311.94069396234</v>
      </c>
      <c r="G18" s="35">
        <f>+'Scenarios (Qs)'!AI18</f>
        <v>31796.979911401908</v>
      </c>
      <c r="H18" s="35">
        <f>+'Scenarios (Qs)'!AN18</f>
        <v>31904.95636249809</v>
      </c>
      <c r="I18" s="35">
        <f>+'Scenarios (Qs)'!AS18</f>
        <v>32009.935284568837</v>
      </c>
      <c r="J18" s="35">
        <f>+'Scenarios (Qs)'!AX18</f>
        <v>32111.813582237733</v>
      </c>
      <c r="K18" s="35">
        <f>+'Scenarios (Qs)'!BC18</f>
        <v>32210.48587395623</v>
      </c>
      <c r="L18" s="35">
        <f>+'Scenarios (Qs)'!BH18</f>
        <v>32305.844448180997</v>
      </c>
      <c r="M18" s="35">
        <f>+Parameters!H34</f>
        <v>29.314285714285717</v>
      </c>
      <c r="N18" s="35">
        <f>+Parameters!I34</f>
        <v>128.25</v>
      </c>
      <c r="O18" s="44">
        <f t="shared" si="8"/>
        <v>0.9321057539742389</v>
      </c>
      <c r="P18" s="44">
        <f t="shared" si="9"/>
        <v>4.077962673637295</v>
      </c>
      <c r="Q18" s="44">
        <f t="shared" si="10"/>
        <v>0.9470227543952487</v>
      </c>
      <c r="R18" s="44">
        <f t="shared" si="11"/>
        <v>4.1432245504792125</v>
      </c>
      <c r="S18" s="84">
        <f t="shared" si="1"/>
        <v>3.030954339341801</v>
      </c>
      <c r="T18" s="84">
        <f t="shared" si="2"/>
        <v>13.260425234620378</v>
      </c>
      <c r="U18" s="84">
        <f t="shared" si="3"/>
        <v>7.737158752935497</v>
      </c>
      <c r="V18" s="84">
        <f t="shared" si="4"/>
        <v>33.8500695440928</v>
      </c>
      <c r="W18" s="84">
        <f t="shared" si="5"/>
        <v>0.5051590565569668</v>
      </c>
      <c r="X18" s="84">
        <f t="shared" si="0"/>
        <v>2.2100708724367295</v>
      </c>
      <c r="Y18" s="84">
        <f t="shared" si="6"/>
        <v>0.7033780684486816</v>
      </c>
      <c r="Z18" s="84">
        <f t="shared" si="7"/>
        <v>3.0772790494629816</v>
      </c>
    </row>
    <row r="19" spans="1:26" ht="12.75">
      <c r="A19" s="6" t="s">
        <v>14</v>
      </c>
      <c r="B19" s="35">
        <f>+'Scenarios (Qs)'!J19</f>
        <v>322.48976311644446</v>
      </c>
      <c r="C19" s="35">
        <f>+'Scenarios (Qs)'!O19</f>
        <v>663.9637366717147</v>
      </c>
      <c r="D19" s="35">
        <f>+'Scenarios (Qs)'!T19</f>
        <v>1025.3336679216195</v>
      </c>
      <c r="E19" s="35">
        <f>+'Scenarios (Qs)'!Y19</f>
        <v>1407.552460184616</v>
      </c>
      <c r="F19" s="35">
        <f>+'Scenarios (Qs)'!AD19</f>
        <v>1811.6159893574354</v>
      </c>
      <c r="G19" s="35">
        <f>+'Scenarios (Qs)'!AI19</f>
        <v>2238.564999918605</v>
      </c>
      <c r="H19" s="35">
        <f>+'Scenarios (Qs)'!AN19</f>
        <v>2446.0253910966517</v>
      </c>
      <c r="I19" s="35">
        <f>+'Scenarios (Qs)'!AS19</f>
        <v>2661.313522556184</v>
      </c>
      <c r="J19" s="35">
        <f>+'Scenarios (Qs)'!AX19</f>
        <v>2884.681251787943</v>
      </c>
      <c r="K19" s="35">
        <f>+'Scenarios (Qs)'!BC19</f>
        <v>3116.3879919609976</v>
      </c>
      <c r="L19" s="35">
        <f>+'Scenarios (Qs)'!BH19</f>
        <v>3356.7009304995777</v>
      </c>
      <c r="M19" s="35">
        <f>+Parameters!H35</f>
        <v>1392.8716090431878</v>
      </c>
      <c r="N19" s="35">
        <f>+Parameters!I35</f>
        <v>3482.1790226079697</v>
      </c>
      <c r="O19" s="44">
        <f t="shared" si="8"/>
        <v>3.1180336333843908</v>
      </c>
      <c r="P19" s="44">
        <f t="shared" si="9"/>
        <v>7.795084083460977</v>
      </c>
      <c r="Q19" s="44">
        <f t="shared" si="10"/>
        <v>4.675453426141713</v>
      </c>
      <c r="R19" s="44">
        <f t="shared" si="11"/>
        <v>11.688633565354282</v>
      </c>
      <c r="S19" s="84">
        <f t="shared" si="1"/>
        <v>10.404083200819448</v>
      </c>
      <c r="T19" s="84">
        <f t="shared" si="2"/>
        <v>26.010208002048618</v>
      </c>
      <c r="U19" s="84">
        <f t="shared" si="3"/>
        <v>30.552122971069846</v>
      </c>
      <c r="V19" s="84">
        <f t="shared" si="4"/>
        <v>76.38030742767462</v>
      </c>
      <c r="W19" s="84">
        <f t="shared" si="5"/>
        <v>1.7340138668032414</v>
      </c>
      <c r="X19" s="84">
        <f t="shared" si="0"/>
        <v>4.335034667008103</v>
      </c>
      <c r="Y19" s="84">
        <f t="shared" si="6"/>
        <v>2.7774657246427132</v>
      </c>
      <c r="Z19" s="84">
        <f t="shared" si="7"/>
        <v>6.943664311606784</v>
      </c>
    </row>
    <row r="20" spans="1:26" ht="12.75">
      <c r="A20" s="6" t="s">
        <v>15</v>
      </c>
      <c r="B20" s="35">
        <f>+'Scenarios (Qs)'!J20</f>
        <v>12670.81906605592</v>
      </c>
      <c r="C20" s="35">
        <f>+'Scenarios (Qs)'!O20</f>
        <v>27115.097752488648</v>
      </c>
      <c r="D20" s="35">
        <f>+'Scenarios (Qs)'!T20</f>
        <v>43574.47903872688</v>
      </c>
      <c r="E20" s="35">
        <f>+'Scenarios (Qs)'!Y20</f>
        <v>62323.47371508668</v>
      </c>
      <c r="F20" s="35">
        <f>+'Scenarios (Qs)'!AD20</f>
        <v>83673.93048637424</v>
      </c>
      <c r="G20" s="35">
        <f>+'Scenarios (Qs)'!AI20</f>
        <v>107980.11401604553</v>
      </c>
      <c r="H20" s="35">
        <f>+'Scenarios (Qs)'!AN20</f>
        <v>150144.55282575972</v>
      </c>
      <c r="I20" s="35">
        <f>+'Scenarios (Qs)'!AS20</f>
        <v>201086.69396966035</v>
      </c>
      <c r="J20" s="35">
        <f>+'Scenarios (Qs)'!AX20</f>
        <v>262617.47428359534</v>
      </c>
      <c r="K20" s="35">
        <f>+'Scenarios (Qs)'!BC20</f>
        <v>336921.3013596488</v>
      </c>
      <c r="L20" s="35">
        <f>+'Scenarios (Qs)'!BH20</f>
        <v>426633.0733750129</v>
      </c>
      <c r="M20" s="35">
        <f>+Parameters!H36</f>
        <v>327.07563735007335</v>
      </c>
      <c r="N20" s="35">
        <f>+Parameters!I36</f>
        <v>1149.8752875588516</v>
      </c>
      <c r="O20" s="44">
        <f t="shared" si="8"/>
        <v>35.31766461293168</v>
      </c>
      <c r="P20" s="44">
        <f t="shared" si="9"/>
        <v>124.16366465483793</v>
      </c>
      <c r="Q20" s="44">
        <f t="shared" si="10"/>
        <v>139.54128438875296</v>
      </c>
      <c r="R20" s="44">
        <f t="shared" si="11"/>
        <v>490.57482792920956</v>
      </c>
      <c r="S20" s="84">
        <f t="shared" si="1"/>
        <v>110.33501324835224</v>
      </c>
      <c r="T20" s="84">
        <f t="shared" si="2"/>
        <v>387.89653095123833</v>
      </c>
      <c r="U20" s="84">
        <f t="shared" si="3"/>
        <v>560.8500086995748</v>
      </c>
      <c r="V20" s="84">
        <f t="shared" si="4"/>
        <v>1971.7383118344428</v>
      </c>
      <c r="W20" s="84">
        <f t="shared" si="5"/>
        <v>18.389168874725375</v>
      </c>
      <c r="X20" s="84">
        <f t="shared" si="0"/>
        <v>64.64942182520639</v>
      </c>
      <c r="Y20" s="84">
        <f t="shared" si="6"/>
        <v>50.98636442723407</v>
      </c>
      <c r="Z20" s="84">
        <f t="shared" si="7"/>
        <v>179.2489374394948</v>
      </c>
    </row>
    <row r="21" spans="1:26" ht="12.75">
      <c r="A21" s="6" t="s">
        <v>16</v>
      </c>
      <c r="B21" s="35">
        <f>+'Scenarios (Qs)'!J21</f>
        <v>39764.82462400361</v>
      </c>
      <c r="C21" s="35">
        <f>+'Scenarios (Qs)'!O21</f>
        <v>83410.97521669313</v>
      </c>
      <c r="D21" s="35">
        <f>+'Scenarios (Qs)'!T21</f>
        <v>131302.07844327192</v>
      </c>
      <c r="E21" s="35">
        <f>+'Scenarios (Qs)'!Y21</f>
        <v>183835.744377613</v>
      </c>
      <c r="F21" s="35">
        <f>+'Scenarios (Qs)'!AD21</f>
        <v>241446.74200906354</v>
      </c>
      <c r="G21" s="35">
        <f>+'Scenarios (Qs)'!AI21</f>
        <v>304610.4714749535</v>
      </c>
      <c r="H21" s="35">
        <f>+'Scenarios (Qs)'!AN21</f>
        <v>387846.3228598346</v>
      </c>
      <c r="I21" s="35">
        <f>+'Scenarios (Qs)'!AS21</f>
        <v>480596.68099806074</v>
      </c>
      <c r="J21" s="35">
        <f>+'Scenarios (Qs)'!AX21</f>
        <v>583926.6190244809</v>
      </c>
      <c r="K21" s="35">
        <f>+'Scenarios (Qs)'!BC21</f>
        <v>699020.3104806966</v>
      </c>
      <c r="L21" s="35">
        <f>+'Scenarios (Qs)'!BH21</f>
        <v>827194.3468412625</v>
      </c>
      <c r="M21" s="35">
        <f>+Parameters!H37</f>
        <v>18.56124114468493</v>
      </c>
      <c r="N21" s="35">
        <f>+Parameters!I37</f>
        <v>63.804266434854455</v>
      </c>
      <c r="O21" s="44">
        <f t="shared" si="8"/>
        <v>5.653948416242783</v>
      </c>
      <c r="P21" s="44">
        <f t="shared" si="9"/>
        <v>19.435447680834567</v>
      </c>
      <c r="Q21" s="44">
        <f t="shared" si="10"/>
        <v>15.353753745240821</v>
      </c>
      <c r="R21" s="44">
        <f t="shared" si="11"/>
        <v>52.77852849926532</v>
      </c>
      <c r="S21" s="84">
        <f t="shared" si="1"/>
        <v>18.27114446549359</v>
      </c>
      <c r="T21" s="84">
        <f t="shared" si="2"/>
        <v>62.80705910013424</v>
      </c>
      <c r="U21" s="84">
        <f t="shared" si="3"/>
        <v>73.55736556013406</v>
      </c>
      <c r="V21" s="84">
        <f t="shared" si="4"/>
        <v>252.85344411296086</v>
      </c>
      <c r="W21" s="84">
        <f t="shared" si="5"/>
        <v>3.045190744248932</v>
      </c>
      <c r="X21" s="84">
        <f t="shared" si="0"/>
        <v>10.467843183355706</v>
      </c>
      <c r="Y21" s="84">
        <f t="shared" si="6"/>
        <v>6.68703323273946</v>
      </c>
      <c r="Z21" s="84">
        <f t="shared" si="7"/>
        <v>22.986676737541895</v>
      </c>
    </row>
    <row r="22" spans="1:26" ht="12.75">
      <c r="A22" s="6" t="s">
        <v>17</v>
      </c>
      <c r="B22" s="35">
        <f>+'Scenarios (Qs)'!J22</f>
        <v>40652.26197766615</v>
      </c>
      <c r="C22" s="35">
        <f>+'Scenarios (Qs)'!O22</f>
        <v>93297.11728814527</v>
      </c>
      <c r="D22" s="35">
        <f>+'Scenarios (Qs)'!T22</f>
        <v>161373.28373734737</v>
      </c>
      <c r="E22" s="35">
        <f>+'Scenarios (Qs)'!Y22</f>
        <v>249304.3400400067</v>
      </c>
      <c r="F22" s="35">
        <f>+'Scenarios (Qs)'!AD22</f>
        <v>362780.779829506</v>
      </c>
      <c r="G22" s="35">
        <f>+'Scenarios (Qs)'!AI22</f>
        <v>509122.8428657265</v>
      </c>
      <c r="H22" s="35">
        <f>+'Scenarios (Qs)'!AN22</f>
        <v>509476.7886435992</v>
      </c>
      <c r="I22" s="35">
        <f>+'Scenarios (Qs)'!AS22</f>
        <v>509818.9035547274</v>
      </c>
      <c r="J22" s="35">
        <f>+'Scenarios (Qs)'!AX22</f>
        <v>510149.00504607585</v>
      </c>
      <c r="K22" s="35">
        <f>+'Scenarios (Qs)'!BC22</f>
        <v>510466.90828275116</v>
      </c>
      <c r="L22" s="35">
        <f>+'Scenarios (Qs)'!BH22</f>
        <v>510772.4261205524</v>
      </c>
      <c r="M22" s="35">
        <f>+Parameters!H38</f>
        <v>56.97333424265158</v>
      </c>
      <c r="N22" s="35">
        <f>+Parameters!I38</f>
        <v>146.8843773443361</v>
      </c>
      <c r="O22" s="44">
        <f t="shared" si="8"/>
        <v>29.006425897158014</v>
      </c>
      <c r="P22" s="44">
        <f t="shared" si="9"/>
        <v>74.7821917661105</v>
      </c>
      <c r="Q22" s="44">
        <f t="shared" si="10"/>
        <v>29.100408155296293</v>
      </c>
      <c r="R22" s="44">
        <f t="shared" si="11"/>
        <v>75.02448977537325</v>
      </c>
      <c r="S22" s="84">
        <f t="shared" si="1"/>
        <v>80.70447280514614</v>
      </c>
      <c r="T22" s="84">
        <f t="shared" si="2"/>
        <v>208.06621895076736</v>
      </c>
      <c r="U22" s="84">
        <f t="shared" si="3"/>
        <v>226.02544668760495</v>
      </c>
      <c r="V22" s="84">
        <f t="shared" si="4"/>
        <v>582.7218547414815</v>
      </c>
      <c r="W22" s="84">
        <f t="shared" si="5"/>
        <v>13.450745467524357</v>
      </c>
      <c r="X22" s="84">
        <f t="shared" si="0"/>
        <v>34.67770315846123</v>
      </c>
      <c r="Y22" s="84">
        <f t="shared" si="6"/>
        <v>20.54776788069136</v>
      </c>
      <c r="Z22" s="84">
        <f t="shared" si="7"/>
        <v>52.974714067407405</v>
      </c>
    </row>
    <row r="23" spans="1:26" ht="12.75">
      <c r="A23" s="6" t="s">
        <v>18</v>
      </c>
      <c r="B23" s="35" t="str">
        <f>+'Scenarios (Qs)'!J23</f>
        <v>…</v>
      </c>
      <c r="C23" s="35" t="str">
        <f>+'Scenarios (Qs)'!O23</f>
        <v>…</v>
      </c>
      <c r="D23" s="35" t="str">
        <f>+'Scenarios (Qs)'!T23</f>
        <v>…</v>
      </c>
      <c r="E23" s="35" t="str">
        <f>+'Scenarios (Qs)'!Y23</f>
        <v>…</v>
      </c>
      <c r="F23" s="35" t="str">
        <f>+'Scenarios (Qs)'!AD23</f>
        <v>…</v>
      </c>
      <c r="G23" s="35" t="str">
        <f>+'Scenarios (Qs)'!AI23</f>
        <v>…</v>
      </c>
      <c r="H23" s="35" t="str">
        <f>+'Scenarios (Qs)'!AN23</f>
        <v>…</v>
      </c>
      <c r="I23" s="35" t="str">
        <f>+'Scenarios (Qs)'!AS23</f>
        <v>…</v>
      </c>
      <c r="J23" s="35" t="str">
        <f>+'Scenarios (Qs)'!AX23</f>
        <v>…</v>
      </c>
      <c r="K23" s="35" t="str">
        <f>+'Scenarios (Qs)'!BC23</f>
        <v>…</v>
      </c>
      <c r="L23" s="35" t="str">
        <f>+'Scenarios (Qs)'!BH23</f>
        <v>…</v>
      </c>
      <c r="M23" s="35">
        <f>+Parameters!H39</f>
        <v>203.25234252728714</v>
      </c>
      <c r="N23" s="35">
        <f>+Parameters!I39</f>
        <v>317.58178519888617</v>
      </c>
      <c r="O23" s="35" t="s">
        <v>34</v>
      </c>
      <c r="P23" s="35" t="s">
        <v>34</v>
      </c>
      <c r="Q23" s="35" t="s">
        <v>34</v>
      </c>
      <c r="R23" s="35" t="s">
        <v>34</v>
      </c>
      <c r="S23" s="35" t="s">
        <v>34</v>
      </c>
      <c r="T23" s="35" t="s">
        <v>34</v>
      </c>
      <c r="U23" s="35" t="s">
        <v>34</v>
      </c>
      <c r="V23" s="35" t="s">
        <v>34</v>
      </c>
      <c r="W23" s="35" t="s">
        <v>34</v>
      </c>
      <c r="X23" s="35" t="s">
        <v>34</v>
      </c>
      <c r="Y23" s="35" t="s">
        <v>34</v>
      </c>
      <c r="Z23" s="35" t="s">
        <v>34</v>
      </c>
    </row>
    <row r="24" spans="1:26" ht="12.75">
      <c r="A24" s="6" t="s">
        <v>19</v>
      </c>
      <c r="B24" s="35">
        <f>+'Scenarios (Qs)'!J24</f>
        <v>1610.119902366263</v>
      </c>
      <c r="C24" s="35">
        <f>+'Scenarios (Qs)'!O24</f>
        <v>3290.303460461524</v>
      </c>
      <c r="D24" s="35">
        <f>+'Scenarios (Qs)'!T24</f>
        <v>5043.202478692008</v>
      </c>
      <c r="E24" s="35">
        <f>+'Scenarios (Qs)'!Y24</f>
        <v>6871.563493951682</v>
      </c>
      <c r="F24" s="35">
        <f>+'Scenarios (Qs)'!AD24</f>
        <v>8778.231067886714</v>
      </c>
      <c r="G24" s="35">
        <f>+'Scenarios (Qs)'!AI24</f>
        <v>10766.151191987345</v>
      </c>
      <c r="H24" s="35">
        <f>+'Scenarios (Qs)'!AN24</f>
        <v>14867.580741924336</v>
      </c>
      <c r="I24" s="35">
        <f>+'Scenarios (Qs)'!AS24</f>
        <v>19236.637856304194</v>
      </c>
      <c r="J24" s="35">
        <f>+'Scenarios (Qs)'!AX24</f>
        <v>23888.822047033478</v>
      </c>
      <c r="K24" s="35">
        <f>+'Scenarios (Qs)'!BC24</f>
        <v>28840.50013839292</v>
      </c>
      <c r="L24" s="35">
        <f>+'Scenarios (Qs)'!BH24</f>
        <v>34108.954271662646</v>
      </c>
      <c r="M24" s="35">
        <f>+Parameters!H40</f>
        <v>1251.9656379255491</v>
      </c>
      <c r="N24" s="35">
        <f>+Parameters!I40</f>
        <v>2738.674832962138</v>
      </c>
      <c r="O24" s="44">
        <f>+G24*M24/1000000</f>
        <v>13.478851345079347</v>
      </c>
      <c r="P24" s="44">
        <f>+G24*N24/1000000</f>
        <v>29.484987317361067</v>
      </c>
      <c r="Q24" s="44">
        <f>+L24*M24/1000000</f>
        <v>42.70323869369551</v>
      </c>
      <c r="R24" s="44">
        <f>+L24*N24/1000000</f>
        <v>93.4133346424589</v>
      </c>
      <c r="S24" s="84">
        <f t="shared" si="1"/>
        <v>45.52093424706646</v>
      </c>
      <c r="T24" s="84">
        <f t="shared" si="2"/>
        <v>99.57704366545785</v>
      </c>
      <c r="U24" s="84">
        <f t="shared" si="3"/>
        <v>196.93678222130467</v>
      </c>
      <c r="V24" s="84">
        <f t="shared" si="4"/>
        <v>430.79921110910385</v>
      </c>
      <c r="W24" s="84">
        <f t="shared" si="5"/>
        <v>7.586822374511076</v>
      </c>
      <c r="X24" s="84">
        <f t="shared" si="0"/>
        <v>16.596173944242974</v>
      </c>
      <c r="Y24" s="84">
        <f t="shared" si="6"/>
        <v>17.903343838300426</v>
      </c>
      <c r="Z24" s="84">
        <f t="shared" si="7"/>
        <v>39.16356464628217</v>
      </c>
    </row>
    <row r="25" spans="1:26" ht="12.75">
      <c r="A25" s="6" t="s">
        <v>20</v>
      </c>
      <c r="B25" s="35">
        <f>+'Scenarios (Qs)'!J25</f>
        <v>10569.431861491183</v>
      </c>
      <c r="C25" s="35">
        <f>+'Scenarios (Qs)'!O25</f>
        <v>28685.27724681142</v>
      </c>
      <c r="D25" s="35">
        <f>+'Scenarios (Qs)'!T25</f>
        <v>59651.58823068776</v>
      </c>
      <c r="E25" s="35">
        <f>+'Scenarios (Qs)'!Y25</f>
        <v>112498.23761938802</v>
      </c>
      <c r="F25" s="35">
        <f>+'Scenarios (Qs)'!AD25</f>
        <v>202598.05721828697</v>
      </c>
      <c r="G25" s="35">
        <f>+'Scenarios (Qs)'!AI25</f>
        <v>356122.3380662073</v>
      </c>
      <c r="H25" s="35">
        <f>+'Scenarios (Qs)'!AN25</f>
        <v>464231.60610582883</v>
      </c>
      <c r="I25" s="35">
        <f>+'Scenarios (Qs)'!AS25</f>
        <v>603827.0018190386</v>
      </c>
      <c r="J25" s="35">
        <f>+'Scenarios (Qs)'!AX25</f>
        <v>784063.8723488457</v>
      </c>
      <c r="K25" s="35">
        <f>+'Scenarios (Qs)'!BC25</f>
        <v>1016759.3138413943</v>
      </c>
      <c r="L25" s="35">
        <f>+'Scenarios (Qs)'!BH25</f>
        <v>1317166.0158819691</v>
      </c>
      <c r="M25" s="35">
        <f>+Parameters!H41</f>
        <v>12.763519840274878</v>
      </c>
      <c r="N25" s="35">
        <f>+Parameters!I41</f>
        <v>69.80049912650324</v>
      </c>
      <c r="O25" s="44">
        <f>+G25*M25/1000000</f>
        <v>4.545374527473115</v>
      </c>
      <c r="P25" s="44">
        <f>+G25*N25/1000000</f>
        <v>24.857516947118594</v>
      </c>
      <c r="Q25" s="44">
        <f>+L25*M25/1000000</f>
        <v>16.811674576645327</v>
      </c>
      <c r="R25" s="44">
        <f>+L25*N25/1000000</f>
        <v>91.93884534102914</v>
      </c>
      <c r="S25" s="84">
        <f t="shared" si="1"/>
        <v>9.829504826645211</v>
      </c>
      <c r="T25" s="84">
        <f t="shared" si="2"/>
        <v>53.755104520715996</v>
      </c>
      <c r="U25" s="84">
        <f t="shared" si="3"/>
        <v>63.25820910188211</v>
      </c>
      <c r="V25" s="84">
        <f t="shared" si="4"/>
        <v>345.94333102591776</v>
      </c>
      <c r="W25" s="84">
        <f t="shared" si="5"/>
        <v>1.6382508044408686</v>
      </c>
      <c r="X25" s="84">
        <f t="shared" si="0"/>
        <v>8.959184086786</v>
      </c>
      <c r="Y25" s="84">
        <f t="shared" si="6"/>
        <v>5.750746281989283</v>
      </c>
      <c r="Z25" s="84">
        <f t="shared" si="7"/>
        <v>31.449393729628888</v>
      </c>
    </row>
    <row r="26" spans="1:26" ht="13.5" thickBot="1">
      <c r="A26" s="40" t="s">
        <v>39</v>
      </c>
      <c r="B26" s="36">
        <f>SUM(B6:B25)</f>
        <v>232545.71722364286</v>
      </c>
      <c r="C26" s="36">
        <f aca="true" t="shared" si="12" ref="C26:L26">SUM(C6:C25)</f>
        <v>505063.23686134315</v>
      </c>
      <c r="D26" s="36">
        <f t="shared" si="12"/>
        <v>829133.1944779753</v>
      </c>
      <c r="E26" s="36">
        <f t="shared" si="12"/>
        <v>1221590.3525508847</v>
      </c>
      <c r="F26" s="36">
        <f t="shared" si="12"/>
        <v>1707560.8947819886</v>
      </c>
      <c r="G26" s="36">
        <f t="shared" si="12"/>
        <v>2325461.526097592</v>
      </c>
      <c r="H26" s="36">
        <f t="shared" si="12"/>
        <v>2775624.146598999</v>
      </c>
      <c r="I26" s="36">
        <f t="shared" si="12"/>
        <v>3320433.0493705873</v>
      </c>
      <c r="J26" s="36">
        <f t="shared" si="12"/>
        <v>3981660.134182716</v>
      </c>
      <c r="K26" s="36">
        <f t="shared" si="12"/>
        <v>4786578.1547172265</v>
      </c>
      <c r="L26" s="36">
        <f t="shared" si="12"/>
        <v>5769472.064790709</v>
      </c>
      <c r="M26" s="36" t="s">
        <v>71</v>
      </c>
      <c r="N26" s="36" t="s">
        <v>71</v>
      </c>
      <c r="O26" s="45">
        <f>SUM(O6:O25)</f>
        <v>198.75754587893164</v>
      </c>
      <c r="P26" s="45">
        <f>SUM(P6:P25)</f>
        <v>526.6948238583375</v>
      </c>
      <c r="Q26" s="45">
        <f>SUM(Q6:Q25)</f>
        <v>470.7856516169256</v>
      </c>
      <c r="R26" s="45">
        <f>SUM(R6:R25)</f>
        <v>1352.8389200131496</v>
      </c>
      <c r="S26" s="45">
        <f aca="true" t="shared" si="13" ref="S26:Z26">SUM(S6:S25)</f>
        <v>618.8353441494271</v>
      </c>
      <c r="T26" s="45">
        <f t="shared" si="13"/>
        <v>1620.4693615112708</v>
      </c>
      <c r="U26" s="45">
        <f t="shared" si="13"/>
        <v>2340.3631873608483</v>
      </c>
      <c r="V26" s="45">
        <f t="shared" si="13"/>
        <v>6450.209474411736</v>
      </c>
      <c r="W26" s="45">
        <f t="shared" si="13"/>
        <v>103.13922402490451</v>
      </c>
      <c r="X26" s="45">
        <f t="shared" si="13"/>
        <v>270.07822691854517</v>
      </c>
      <c r="Y26" s="45">
        <f t="shared" si="13"/>
        <v>212.76028976007714</v>
      </c>
      <c r="Z26" s="45">
        <f t="shared" si="13"/>
        <v>586.3826794919761</v>
      </c>
    </row>
    <row r="27" spans="1:26" ht="13.5" thickBot="1">
      <c r="A27" s="41" t="s">
        <v>69</v>
      </c>
      <c r="B27" s="43">
        <f>+B15+B21+B25</f>
        <v>51922.39158738716</v>
      </c>
      <c r="C27" s="43">
        <f>+C15+C21+C25</f>
        <v>115858.29972843395</v>
      </c>
      <c r="D27" s="43">
        <f>+D15+D21+D25</f>
        <v>197682.78401918616</v>
      </c>
      <c r="E27" s="43">
        <f>+E15+E21+E25</f>
        <v>307103.95672030095</v>
      </c>
      <c r="F27" s="43">
        <f>+F15+F21+F25</f>
        <v>460309.1650136041</v>
      </c>
      <c r="G27" s="43">
        <f aca="true" t="shared" si="14" ref="G27:L27">+G15+G21+G25</f>
        <v>684458.9676052674</v>
      </c>
      <c r="H27" s="43">
        <f t="shared" si="14"/>
        <v>887731.9387461348</v>
      </c>
      <c r="I27" s="43">
        <f t="shared" si="14"/>
        <v>1136995.4278818378</v>
      </c>
      <c r="J27" s="43">
        <f t="shared" si="14"/>
        <v>1444544.0253562669</v>
      </c>
      <c r="K27" s="43">
        <f t="shared" si="14"/>
        <v>1826315.081785455</v>
      </c>
      <c r="L27" s="43">
        <f t="shared" si="14"/>
        <v>2303034.0271974755</v>
      </c>
      <c r="M27" s="36" t="s">
        <v>71</v>
      </c>
      <c r="N27" s="36" t="s">
        <v>71</v>
      </c>
      <c r="O27" s="46">
        <f>+O15+O21+O25</f>
        <v>10.502546112395047</v>
      </c>
      <c r="P27" s="46">
        <f>+P15+P21+P25</f>
        <v>45.66694461103056</v>
      </c>
      <c r="Q27" s="46">
        <f>+Q15+Q21+Q25</f>
        <v>34.19329693836474</v>
      </c>
      <c r="R27" s="46">
        <f>+R15+R21+R25</f>
        <v>153.9061535087131</v>
      </c>
      <c r="S27" s="46">
        <f aca="true" t="shared" si="15" ref="S27:Z27">+S15+S21+S25</f>
        <v>28.90374951189908</v>
      </c>
      <c r="T27" s="46">
        <f t="shared" si="15"/>
        <v>120.20121149163899</v>
      </c>
      <c r="U27" s="46">
        <f t="shared" si="15"/>
        <v>143.16509924289124</v>
      </c>
      <c r="V27" s="46">
        <f t="shared" si="15"/>
        <v>627.5680583959688</v>
      </c>
      <c r="W27" s="46">
        <f t="shared" si="15"/>
        <v>4.8172915853165135</v>
      </c>
      <c r="X27" s="46">
        <f t="shared" si="15"/>
        <v>20.033535248606498</v>
      </c>
      <c r="Y27" s="46">
        <f t="shared" si="15"/>
        <v>13.01500902208102</v>
      </c>
      <c r="Z27" s="46">
        <f t="shared" si="15"/>
        <v>57.051641672360795</v>
      </c>
    </row>
    <row r="28" spans="1:26" ht="13.5" thickBot="1">
      <c r="A28" s="42" t="s">
        <v>70</v>
      </c>
      <c r="B28" s="43">
        <f>+B6+B8+B9+B11+B15+B16+B21+B22+B25</f>
        <v>205317.8552645316</v>
      </c>
      <c r="C28" s="43">
        <f>+C6+C8+C9+C11+C15+C16+C21+C22+C25</f>
        <v>447796.1898865483</v>
      </c>
      <c r="D28" s="43">
        <f>+D6+D8+D9+D11+D15+D16+D21+D22+D25</f>
        <v>738662.5338749466</v>
      </c>
      <c r="E28" s="43">
        <f>+E6+E8+E9+E11+E15+E16+E21+E22+E25</f>
        <v>1094348.181928739</v>
      </c>
      <c r="F28" s="43">
        <f>+F6+F8+F9+F11+F15+F16+F21+F22+F25</f>
        <v>1539517.700061761</v>
      </c>
      <c r="G28" s="43">
        <f aca="true" t="shared" si="16" ref="G28:L28">+G6+G8+G9+G11+G15+G16+G21+G22+G25</f>
        <v>2112058.954611712</v>
      </c>
      <c r="H28" s="43">
        <f t="shared" si="16"/>
        <v>2510852.142930728</v>
      </c>
      <c r="I28" s="43">
        <f t="shared" si="16"/>
        <v>2994754.7804033244</v>
      </c>
      <c r="J28" s="43">
        <f t="shared" si="16"/>
        <v>3583651.8780968944</v>
      </c>
      <c r="K28" s="43">
        <f t="shared" si="16"/>
        <v>4302546.960795504</v>
      </c>
      <c r="L28" s="43">
        <f t="shared" si="16"/>
        <v>5182995.265785815</v>
      </c>
      <c r="M28" s="36" t="s">
        <v>71</v>
      </c>
      <c r="N28" s="36" t="s">
        <v>71</v>
      </c>
      <c r="O28" s="46">
        <f>+O6+O8+O9+O11+O15+O16+O21+O22+O25</f>
        <v>115.14184490141282</v>
      </c>
      <c r="P28" s="46">
        <f>+P6+P8+P9+P11+P15+P16+P21+P22+P25</f>
        <v>293.80242253016</v>
      </c>
      <c r="Q28" s="46">
        <f>+Q6+Q8+Q9+Q11+Q15+Q16+Q21+Q22+Q25</f>
        <v>236.915984561231</v>
      </c>
      <c r="R28" s="46">
        <f>+R6+R8+R9+R11+R15+R16+R21+R22+R25</f>
        <v>643.5162285108253</v>
      </c>
      <c r="S28" s="46">
        <f aca="true" t="shared" si="17" ref="S28:Z28">+S6+S8+S9+S11+S15+S16+S21+S22+S25</f>
        <v>346.83753674122636</v>
      </c>
      <c r="T28" s="46">
        <f t="shared" si="17"/>
        <v>872.2702194195367</v>
      </c>
      <c r="U28" s="46">
        <f t="shared" si="17"/>
        <v>1244.100755388321</v>
      </c>
      <c r="V28" s="46">
        <f t="shared" si="17"/>
        <v>3259.6884462219723</v>
      </c>
      <c r="W28" s="46">
        <f t="shared" si="17"/>
        <v>57.806256123537736</v>
      </c>
      <c r="X28" s="46">
        <f t="shared" si="17"/>
        <v>145.37836990325613</v>
      </c>
      <c r="Y28" s="46">
        <f t="shared" si="17"/>
        <v>113.10006867166555</v>
      </c>
      <c r="Z28" s="46">
        <f t="shared" si="17"/>
        <v>296.33531329290656</v>
      </c>
    </row>
  </sheetData>
  <mergeCells count="21">
    <mergeCell ref="C4:C5"/>
    <mergeCell ref="D4:D5"/>
    <mergeCell ref="S3:V3"/>
    <mergeCell ref="W3:Z3"/>
    <mergeCell ref="W4:X4"/>
    <mergeCell ref="Y4:Z4"/>
    <mergeCell ref="S4:T4"/>
    <mergeCell ref="U4:V4"/>
    <mergeCell ref="I4:I5"/>
    <mergeCell ref="J4:J5"/>
    <mergeCell ref="K4:K5"/>
    <mergeCell ref="A4:A5"/>
    <mergeCell ref="M4:N4"/>
    <mergeCell ref="O4:P4"/>
    <mergeCell ref="Q4:R4"/>
    <mergeCell ref="G4:G5"/>
    <mergeCell ref="L4:L5"/>
    <mergeCell ref="F4:F5"/>
    <mergeCell ref="E4:E5"/>
    <mergeCell ref="B4:B5"/>
    <mergeCell ref="H4:H5"/>
  </mergeCells>
  <hyperlinks>
    <hyperlink ref="A1" location="Presentation!A1" display="Back to presentation"/>
    <hyperlink ref="A2" location="Parameters!A1" display="Go to change the main model parameters"/>
    <hyperlink ref="B1" location="'Scenarios (Qs)'!A1" display="Go to see the scenarios"/>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2:K85"/>
  <sheetViews>
    <sheetView workbookViewId="0" topLeftCell="E1">
      <selection activeCell="E1" sqref="E1"/>
    </sheetView>
  </sheetViews>
  <sheetFormatPr defaultColWidth="9.140625" defaultRowHeight="12.75"/>
  <cols>
    <col min="1" max="4" width="11.421875" style="19" hidden="1" customWidth="1"/>
    <col min="5" max="5" width="26.140625" style="19" bestFit="1" customWidth="1"/>
    <col min="6" max="6" width="7.140625" style="19" customWidth="1"/>
    <col min="7" max="9" width="6.00390625" style="19" customWidth="1"/>
    <col min="10" max="10" width="11.57421875" style="19" bestFit="1" customWidth="1"/>
    <col min="11" max="16384" width="11.421875" style="19" customWidth="1"/>
  </cols>
  <sheetData>
    <row r="2" spans="6:11" ht="29.25" customHeight="1">
      <c r="F2" s="92" t="s">
        <v>25</v>
      </c>
      <c r="G2" s="92"/>
      <c r="H2" s="92"/>
      <c r="I2" s="92"/>
      <c r="J2" s="109" t="s">
        <v>30</v>
      </c>
      <c r="K2" s="109"/>
    </row>
    <row r="3" spans="1:11" ht="12.75">
      <c r="A3" s="19" t="s">
        <v>21</v>
      </c>
      <c r="B3" s="19" t="s">
        <v>22</v>
      </c>
      <c r="C3" s="19" t="s">
        <v>23</v>
      </c>
      <c r="D3" s="19" t="s">
        <v>24</v>
      </c>
      <c r="F3" s="19">
        <v>2000</v>
      </c>
      <c r="G3" s="19">
        <v>2005</v>
      </c>
      <c r="H3" s="19">
        <v>2010</v>
      </c>
      <c r="I3" s="19">
        <v>2015</v>
      </c>
      <c r="J3" s="19" t="s">
        <v>31</v>
      </c>
      <c r="K3" s="19" t="s">
        <v>32</v>
      </c>
    </row>
    <row r="4" spans="1:11" ht="12.75">
      <c r="A4" s="19" t="s">
        <v>1</v>
      </c>
      <c r="B4" s="19" t="s">
        <v>25</v>
      </c>
      <c r="C4" s="19">
        <v>2000</v>
      </c>
      <c r="D4" s="19">
        <v>3012</v>
      </c>
      <c r="E4" s="19" t="s">
        <v>1</v>
      </c>
      <c r="F4" s="37">
        <v>3012</v>
      </c>
      <c r="G4" s="37">
        <v>3160</v>
      </c>
      <c r="H4" s="37">
        <v>3442</v>
      </c>
      <c r="I4" s="37">
        <v>3616</v>
      </c>
      <c r="J4" s="38">
        <f>((H4/G4)^(1/5))-1</f>
        <v>0.01724310931266948</v>
      </c>
      <c r="K4" s="38">
        <f>((I4/H4)^(1/5))-1</f>
        <v>0.00991195011413204</v>
      </c>
    </row>
    <row r="5" spans="1:11" ht="12.75">
      <c r="A5" s="19" t="s">
        <v>1</v>
      </c>
      <c r="B5" s="19" t="s">
        <v>25</v>
      </c>
      <c r="C5" s="19">
        <v>2005</v>
      </c>
      <c r="D5" s="19">
        <v>3160</v>
      </c>
      <c r="E5" s="19" t="s">
        <v>2</v>
      </c>
      <c r="F5" s="37">
        <v>66</v>
      </c>
      <c r="G5" s="37">
        <v>65</v>
      </c>
      <c r="H5" s="37">
        <v>61</v>
      </c>
      <c r="I5" s="37">
        <v>60</v>
      </c>
      <c r="J5" s="38">
        <v>0</v>
      </c>
      <c r="K5" s="38">
        <v>0</v>
      </c>
    </row>
    <row r="6" spans="1:11" ht="12.75">
      <c r="A6" s="19" t="s">
        <v>1</v>
      </c>
      <c r="B6" s="19" t="s">
        <v>25</v>
      </c>
      <c r="C6" s="19">
        <v>2010</v>
      </c>
      <c r="D6" s="19">
        <v>3442</v>
      </c>
      <c r="E6" s="19" t="s">
        <v>3</v>
      </c>
      <c r="F6" s="37">
        <v>115</v>
      </c>
      <c r="G6" s="37">
        <v>120</v>
      </c>
      <c r="H6" s="37">
        <v>121</v>
      </c>
      <c r="I6" s="37">
        <v>121</v>
      </c>
      <c r="J6" s="38">
        <f aca="true" t="shared" si="0" ref="J6:K23">((H6/G6)^(1/5))-1</f>
        <v>0.0016611387278713252</v>
      </c>
      <c r="K6" s="38">
        <f t="shared" si="0"/>
        <v>0</v>
      </c>
    </row>
    <row r="7" spans="1:11" ht="12.75">
      <c r="A7" s="19" t="s">
        <v>1</v>
      </c>
      <c r="B7" s="19" t="s">
        <v>25</v>
      </c>
      <c r="C7" s="19">
        <v>2015</v>
      </c>
      <c r="D7" s="19">
        <v>3616</v>
      </c>
      <c r="E7" s="19" t="s">
        <v>4</v>
      </c>
      <c r="F7" s="37">
        <v>8203</v>
      </c>
      <c r="G7" s="37">
        <v>8933</v>
      </c>
      <c r="H7" s="37">
        <v>9382</v>
      </c>
      <c r="I7" s="37">
        <v>9505</v>
      </c>
      <c r="J7" s="38">
        <f t="shared" si="0"/>
        <v>0.009856392436425443</v>
      </c>
      <c r="K7" s="38">
        <f t="shared" si="0"/>
        <v>0.002608399175875631</v>
      </c>
    </row>
    <row r="8" spans="1:11" ht="12.75">
      <c r="A8" s="19" t="s">
        <v>2</v>
      </c>
      <c r="B8" s="19" t="s">
        <v>25</v>
      </c>
      <c r="C8" s="19">
        <v>2000</v>
      </c>
      <c r="D8" s="19">
        <v>66</v>
      </c>
      <c r="E8" s="19" t="s">
        <v>5</v>
      </c>
      <c r="F8" s="37">
        <v>4021</v>
      </c>
      <c r="G8" s="37">
        <v>4322</v>
      </c>
      <c r="H8" s="37">
        <v>4501</v>
      </c>
      <c r="I8" s="37">
        <v>4709</v>
      </c>
      <c r="J8" s="38">
        <f t="shared" si="0"/>
        <v>0.008149293431537918</v>
      </c>
      <c r="K8" s="38">
        <f t="shared" si="0"/>
        <v>0.009076135977166944</v>
      </c>
    </row>
    <row r="9" spans="1:11" ht="12.75">
      <c r="A9" s="19" t="s">
        <v>2</v>
      </c>
      <c r="B9" s="19" t="s">
        <v>25</v>
      </c>
      <c r="C9" s="19">
        <v>2005</v>
      </c>
      <c r="D9" s="19">
        <v>65</v>
      </c>
      <c r="E9" s="19" t="s">
        <v>6</v>
      </c>
      <c r="F9" s="37">
        <v>736</v>
      </c>
      <c r="G9" s="37">
        <v>732</v>
      </c>
      <c r="H9" s="37">
        <v>740</v>
      </c>
      <c r="I9" s="37">
        <v>736</v>
      </c>
      <c r="J9" s="38">
        <f t="shared" si="0"/>
        <v>0.002176299156134931</v>
      </c>
      <c r="K9" s="38">
        <v>0</v>
      </c>
    </row>
    <row r="10" spans="1:11" ht="12.75">
      <c r="A10" s="19" t="s">
        <v>2</v>
      </c>
      <c r="B10" s="19" t="s">
        <v>25</v>
      </c>
      <c r="C10" s="19">
        <v>2010</v>
      </c>
      <c r="D10" s="19">
        <v>61</v>
      </c>
      <c r="E10" s="19" t="s">
        <v>7</v>
      </c>
      <c r="F10" s="37">
        <v>211</v>
      </c>
      <c r="G10" s="37">
        <v>241</v>
      </c>
      <c r="H10" s="37">
        <v>268</v>
      </c>
      <c r="I10" s="37">
        <v>268</v>
      </c>
      <c r="J10" s="38">
        <f t="shared" si="0"/>
        <v>0.021465141017063427</v>
      </c>
      <c r="K10" s="38">
        <f t="shared" si="0"/>
        <v>0</v>
      </c>
    </row>
    <row r="11" spans="1:11" ht="12.75">
      <c r="A11" s="19" t="s">
        <v>2</v>
      </c>
      <c r="B11" s="19" t="s">
        <v>25</v>
      </c>
      <c r="C11" s="19">
        <v>2015</v>
      </c>
      <c r="D11" s="19">
        <v>60</v>
      </c>
      <c r="E11" s="19" t="s">
        <v>8</v>
      </c>
      <c r="F11" s="37">
        <v>355</v>
      </c>
      <c r="G11" s="37">
        <v>322</v>
      </c>
      <c r="H11" s="37">
        <v>324</v>
      </c>
      <c r="I11" s="37">
        <v>325</v>
      </c>
      <c r="J11" s="38">
        <f t="shared" si="0"/>
        <v>0.0012391611761308763</v>
      </c>
      <c r="K11" s="38">
        <f t="shared" si="0"/>
        <v>0.0006165232798813758</v>
      </c>
    </row>
    <row r="12" spans="1:11" ht="12.75">
      <c r="A12" s="19" t="s">
        <v>3</v>
      </c>
      <c r="B12" s="19" t="s">
        <v>25</v>
      </c>
      <c r="C12" s="19">
        <v>2000</v>
      </c>
      <c r="D12" s="19">
        <v>115</v>
      </c>
      <c r="E12" s="19" t="s">
        <v>9</v>
      </c>
      <c r="F12" s="37">
        <v>575</v>
      </c>
      <c r="G12" s="37">
        <v>636</v>
      </c>
      <c r="H12" s="37">
        <v>689</v>
      </c>
      <c r="I12" s="37">
        <v>701</v>
      </c>
      <c r="J12" s="38">
        <f t="shared" si="0"/>
        <v>0.01613736474159566</v>
      </c>
      <c r="K12" s="38">
        <f t="shared" si="0"/>
        <v>0.0034592927944261387</v>
      </c>
    </row>
    <row r="13" spans="1:11" ht="12.75">
      <c r="A13" s="19" t="s">
        <v>3</v>
      </c>
      <c r="B13" s="19" t="s">
        <v>25</v>
      </c>
      <c r="C13" s="19">
        <v>2005</v>
      </c>
      <c r="D13" s="19">
        <v>120</v>
      </c>
      <c r="E13" s="19" t="s">
        <v>10</v>
      </c>
      <c r="F13" s="37">
        <v>457</v>
      </c>
      <c r="G13" s="37">
        <v>526</v>
      </c>
      <c r="H13" s="37">
        <v>582</v>
      </c>
      <c r="I13" s="37">
        <v>615</v>
      </c>
      <c r="J13" s="38">
        <f t="shared" si="0"/>
        <v>0.020439938944970537</v>
      </c>
      <c r="K13" s="38">
        <f t="shared" si="0"/>
        <v>0.011091422773768178</v>
      </c>
    </row>
    <row r="14" spans="1:11" ht="12.75">
      <c r="A14" s="19" t="s">
        <v>3</v>
      </c>
      <c r="B14" s="19" t="s">
        <v>25</v>
      </c>
      <c r="C14" s="19">
        <v>2010</v>
      </c>
      <c r="D14" s="19">
        <v>121</v>
      </c>
      <c r="E14" s="19" t="s">
        <v>11</v>
      </c>
      <c r="F14" s="37">
        <v>3221</v>
      </c>
      <c r="G14" s="37">
        <v>3378</v>
      </c>
      <c r="H14" s="37">
        <v>3486</v>
      </c>
      <c r="I14" s="37">
        <v>3493</v>
      </c>
      <c r="J14" s="38">
        <f t="shared" si="0"/>
        <v>0.006314076006786795</v>
      </c>
      <c r="K14" s="38">
        <f t="shared" si="0"/>
        <v>0.00040128423836005567</v>
      </c>
    </row>
    <row r="15" spans="1:11" ht="12.75">
      <c r="A15" s="19" t="s">
        <v>3</v>
      </c>
      <c r="B15" s="19" t="s">
        <v>25</v>
      </c>
      <c r="C15" s="19">
        <v>2015</v>
      </c>
      <c r="D15" s="19">
        <v>121</v>
      </c>
      <c r="E15" s="19" t="s">
        <v>12</v>
      </c>
      <c r="F15" s="37">
        <v>319</v>
      </c>
      <c r="G15" s="37">
        <v>301</v>
      </c>
      <c r="H15" s="37">
        <v>325</v>
      </c>
      <c r="I15" s="37">
        <v>345</v>
      </c>
      <c r="J15" s="38">
        <f t="shared" si="0"/>
        <v>0.015461291378539466</v>
      </c>
      <c r="K15" s="38">
        <f t="shared" si="0"/>
        <v>0.012015459506031334</v>
      </c>
    </row>
    <row r="16" spans="1:11" ht="12.75">
      <c r="A16" s="19" t="s">
        <v>4</v>
      </c>
      <c r="B16" s="19" t="s">
        <v>25</v>
      </c>
      <c r="C16" s="19">
        <v>2000</v>
      </c>
      <c r="D16" s="19">
        <v>8203</v>
      </c>
      <c r="E16" s="19" t="s">
        <v>13</v>
      </c>
      <c r="F16" s="37">
        <v>587</v>
      </c>
      <c r="G16" s="37">
        <v>646</v>
      </c>
      <c r="H16" s="37">
        <v>698</v>
      </c>
      <c r="I16" s="37">
        <v>741</v>
      </c>
      <c r="J16" s="38">
        <f t="shared" si="0"/>
        <v>0.015604416800754084</v>
      </c>
      <c r="K16" s="38">
        <f t="shared" si="0"/>
        <v>0.012028066834362638</v>
      </c>
    </row>
    <row r="17" spans="1:11" ht="12.75">
      <c r="A17" s="19" t="s">
        <v>4</v>
      </c>
      <c r="B17" s="19" t="s">
        <v>25</v>
      </c>
      <c r="C17" s="19">
        <v>2005</v>
      </c>
      <c r="D17" s="19">
        <v>8933</v>
      </c>
      <c r="E17" s="19" t="s">
        <v>14</v>
      </c>
      <c r="F17" s="37">
        <v>59</v>
      </c>
      <c r="G17" s="37">
        <v>67</v>
      </c>
      <c r="H17" s="37">
        <v>73</v>
      </c>
      <c r="I17" s="37">
        <v>71</v>
      </c>
      <c r="J17" s="38">
        <f t="shared" si="0"/>
        <v>0.017301328120523207</v>
      </c>
      <c r="K17" s="38">
        <v>0</v>
      </c>
    </row>
    <row r="18" spans="1:11" ht="12.75">
      <c r="A18" s="19" t="s">
        <v>4</v>
      </c>
      <c r="B18" s="19" t="s">
        <v>25</v>
      </c>
      <c r="C18" s="19">
        <v>2010</v>
      </c>
      <c r="D18" s="19">
        <v>9382</v>
      </c>
      <c r="E18" s="19" t="s">
        <v>15</v>
      </c>
      <c r="F18" s="37">
        <v>3097</v>
      </c>
      <c r="G18" s="37">
        <v>3200</v>
      </c>
      <c r="H18" s="37">
        <v>3346</v>
      </c>
      <c r="I18" s="37">
        <v>3477</v>
      </c>
      <c r="J18" s="38">
        <f t="shared" si="0"/>
        <v>0.00896288681750912</v>
      </c>
      <c r="K18" s="38">
        <f t="shared" si="0"/>
        <v>0.007710423489075469</v>
      </c>
    </row>
    <row r="19" spans="1:11" ht="12.75">
      <c r="A19" s="19" t="s">
        <v>4</v>
      </c>
      <c r="B19" s="19" t="s">
        <v>25</v>
      </c>
      <c r="C19" s="19">
        <v>2015</v>
      </c>
      <c r="D19" s="19">
        <v>9505</v>
      </c>
      <c r="E19" s="19" t="s">
        <v>16</v>
      </c>
      <c r="F19" s="37">
        <v>5001</v>
      </c>
      <c r="G19" s="37">
        <v>5216</v>
      </c>
      <c r="H19" s="37">
        <v>5367</v>
      </c>
      <c r="I19" s="37">
        <v>5415</v>
      </c>
      <c r="J19" s="38">
        <f t="shared" si="0"/>
        <v>0.005723973403799931</v>
      </c>
      <c r="K19" s="38">
        <f t="shared" si="0"/>
        <v>0.0017823439417814502</v>
      </c>
    </row>
    <row r="20" spans="1:11" ht="12.75">
      <c r="A20" s="19" t="s">
        <v>5</v>
      </c>
      <c r="B20" s="19" t="s">
        <v>25</v>
      </c>
      <c r="C20" s="19">
        <v>2000</v>
      </c>
      <c r="D20" s="19">
        <v>4021</v>
      </c>
      <c r="E20" s="19" t="s">
        <v>17</v>
      </c>
      <c r="F20" s="37">
        <v>2333</v>
      </c>
      <c r="G20" s="37">
        <v>2526</v>
      </c>
      <c r="H20" s="37">
        <v>2680</v>
      </c>
      <c r="I20" s="37">
        <v>2715</v>
      </c>
      <c r="J20" s="38">
        <f t="shared" si="0"/>
        <v>0.011906276192926946</v>
      </c>
      <c r="K20" s="38">
        <f t="shared" si="0"/>
        <v>0.002598401782040405</v>
      </c>
    </row>
    <row r="21" spans="1:11" ht="12.75">
      <c r="A21" s="19" t="s">
        <v>5</v>
      </c>
      <c r="B21" s="19" t="s">
        <v>25</v>
      </c>
      <c r="C21" s="19">
        <v>2005</v>
      </c>
      <c r="D21" s="19">
        <v>4322</v>
      </c>
      <c r="E21" s="19" t="s">
        <v>18</v>
      </c>
      <c r="F21" s="37">
        <v>838</v>
      </c>
      <c r="G21" s="37">
        <v>806</v>
      </c>
      <c r="H21" s="37">
        <v>824</v>
      </c>
      <c r="I21" s="37">
        <v>811</v>
      </c>
      <c r="J21" s="38">
        <f t="shared" si="0"/>
        <v>0.004427128386020662</v>
      </c>
      <c r="K21" s="38">
        <v>0</v>
      </c>
    </row>
    <row r="22" spans="1:11" ht="12.75">
      <c r="A22" s="19" t="s">
        <v>5</v>
      </c>
      <c r="B22" s="19" t="s">
        <v>25</v>
      </c>
      <c r="C22" s="19">
        <v>2010</v>
      </c>
      <c r="D22" s="19">
        <v>4501</v>
      </c>
      <c r="E22" s="19" t="s">
        <v>19</v>
      </c>
      <c r="F22" s="37">
        <v>270</v>
      </c>
      <c r="G22" s="37">
        <v>337</v>
      </c>
      <c r="H22" s="37">
        <v>369</v>
      </c>
      <c r="I22" s="37">
        <v>389</v>
      </c>
      <c r="J22" s="38">
        <f t="shared" si="0"/>
        <v>0.018308322133678168</v>
      </c>
      <c r="K22" s="38">
        <f t="shared" si="0"/>
        <v>0.010612456772706835</v>
      </c>
    </row>
    <row r="23" spans="1:11" ht="12.75">
      <c r="A23" s="19" t="s">
        <v>5</v>
      </c>
      <c r="B23" s="19" t="s">
        <v>25</v>
      </c>
      <c r="C23" s="19">
        <v>2015</v>
      </c>
      <c r="D23" s="19">
        <v>4709</v>
      </c>
      <c r="E23" s="19" t="s">
        <v>20</v>
      </c>
      <c r="F23" s="37">
        <v>3287</v>
      </c>
      <c r="G23" s="37">
        <v>3668</v>
      </c>
      <c r="H23" s="37">
        <v>4176</v>
      </c>
      <c r="I23" s="37">
        <v>4654</v>
      </c>
      <c r="J23" s="38">
        <f t="shared" si="0"/>
        <v>0.02628086745006164</v>
      </c>
      <c r="K23" s="38">
        <f t="shared" si="0"/>
        <v>0.02191124425639157</v>
      </c>
    </row>
    <row r="24" spans="1:9" ht="12.75">
      <c r="A24" s="19" t="s">
        <v>6</v>
      </c>
      <c r="B24" s="19" t="s">
        <v>25</v>
      </c>
      <c r="C24" s="19">
        <v>2000</v>
      </c>
      <c r="D24" s="19">
        <v>736</v>
      </c>
      <c r="E24" s="19" t="s">
        <v>29</v>
      </c>
      <c r="F24" s="37">
        <v>36763</v>
      </c>
      <c r="G24" s="37">
        <v>39202</v>
      </c>
      <c r="H24" s="37">
        <v>41454</v>
      </c>
      <c r="I24" s="37">
        <v>42767</v>
      </c>
    </row>
    <row r="25" spans="1:4" ht="12.75">
      <c r="A25" s="19" t="s">
        <v>6</v>
      </c>
      <c r="B25" s="19" t="s">
        <v>25</v>
      </c>
      <c r="C25" s="19">
        <v>2005</v>
      </c>
      <c r="D25" s="19">
        <v>732</v>
      </c>
    </row>
    <row r="26" spans="1:4" ht="12.75">
      <c r="A26" s="19" t="s">
        <v>6</v>
      </c>
      <c r="B26" s="19" t="s">
        <v>25</v>
      </c>
      <c r="C26" s="19">
        <v>2010</v>
      </c>
      <c r="D26" s="19">
        <v>740</v>
      </c>
    </row>
    <row r="27" spans="1:4" ht="12.75">
      <c r="A27" s="19" t="s">
        <v>6</v>
      </c>
      <c r="B27" s="19" t="s">
        <v>25</v>
      </c>
      <c r="C27" s="19">
        <v>2015</v>
      </c>
      <c r="D27" s="19">
        <v>736</v>
      </c>
    </row>
    <row r="28" spans="1:4" ht="12.75">
      <c r="A28" s="19" t="s">
        <v>7</v>
      </c>
      <c r="B28" s="19" t="s">
        <v>25</v>
      </c>
      <c r="C28" s="19">
        <v>2000</v>
      </c>
      <c r="D28" s="19">
        <v>211</v>
      </c>
    </row>
    <row r="29" spans="1:4" ht="12.75">
      <c r="A29" s="19" t="s">
        <v>7</v>
      </c>
      <c r="B29" s="19" t="s">
        <v>25</v>
      </c>
      <c r="C29" s="19">
        <v>2005</v>
      </c>
      <c r="D29" s="19">
        <v>241</v>
      </c>
    </row>
    <row r="30" spans="1:4" ht="12.75">
      <c r="A30" s="19" t="s">
        <v>7</v>
      </c>
      <c r="B30" s="19" t="s">
        <v>25</v>
      </c>
      <c r="C30" s="19">
        <v>2010</v>
      </c>
      <c r="D30" s="19">
        <v>268</v>
      </c>
    </row>
    <row r="31" spans="1:4" ht="12.75">
      <c r="A31" s="19" t="s">
        <v>7</v>
      </c>
      <c r="B31" s="19" t="s">
        <v>25</v>
      </c>
      <c r="C31" s="19">
        <v>2015</v>
      </c>
      <c r="D31" s="19">
        <v>268</v>
      </c>
    </row>
    <row r="32" spans="1:4" ht="12.75">
      <c r="A32" s="19" t="s">
        <v>8</v>
      </c>
      <c r="B32" s="19" t="s">
        <v>25</v>
      </c>
      <c r="C32" s="19">
        <v>2000</v>
      </c>
      <c r="D32" s="19">
        <v>355</v>
      </c>
    </row>
    <row r="33" spans="1:4" ht="12.75">
      <c r="A33" s="19" t="s">
        <v>8</v>
      </c>
      <c r="B33" s="19" t="s">
        <v>25</v>
      </c>
      <c r="C33" s="19">
        <v>2005</v>
      </c>
      <c r="D33" s="19">
        <v>322</v>
      </c>
    </row>
    <row r="34" spans="1:4" ht="12.75">
      <c r="A34" s="19" t="s">
        <v>8</v>
      </c>
      <c r="B34" s="19" t="s">
        <v>25</v>
      </c>
      <c r="C34" s="19">
        <v>2010</v>
      </c>
      <c r="D34" s="19">
        <v>324</v>
      </c>
    </row>
    <row r="35" spans="1:4" ht="12.75">
      <c r="A35" s="19" t="s">
        <v>8</v>
      </c>
      <c r="B35" s="19" t="s">
        <v>25</v>
      </c>
      <c r="C35" s="19">
        <v>2015</v>
      </c>
      <c r="D35" s="19">
        <v>325</v>
      </c>
    </row>
    <row r="36" spans="1:4" ht="12.75">
      <c r="A36" s="19" t="s">
        <v>9</v>
      </c>
      <c r="B36" s="19" t="s">
        <v>25</v>
      </c>
      <c r="C36" s="19">
        <v>2000</v>
      </c>
      <c r="D36" s="19">
        <v>575</v>
      </c>
    </row>
    <row r="37" spans="1:4" ht="12.75">
      <c r="A37" s="19" t="s">
        <v>9</v>
      </c>
      <c r="B37" s="19" t="s">
        <v>25</v>
      </c>
      <c r="C37" s="19">
        <v>2005</v>
      </c>
      <c r="D37" s="19">
        <v>636</v>
      </c>
    </row>
    <row r="38" spans="1:4" ht="12.75">
      <c r="A38" s="19" t="s">
        <v>9</v>
      </c>
      <c r="B38" s="19" t="s">
        <v>25</v>
      </c>
      <c r="C38" s="19">
        <v>2010</v>
      </c>
      <c r="D38" s="19">
        <v>689</v>
      </c>
    </row>
    <row r="39" spans="1:4" ht="12.75">
      <c r="A39" s="19" t="s">
        <v>9</v>
      </c>
      <c r="B39" s="19" t="s">
        <v>25</v>
      </c>
      <c r="C39" s="19">
        <v>2015</v>
      </c>
      <c r="D39" s="19">
        <v>701</v>
      </c>
    </row>
    <row r="40" spans="1:4" ht="12.75">
      <c r="A40" s="19" t="s">
        <v>10</v>
      </c>
      <c r="B40" s="19" t="s">
        <v>25</v>
      </c>
      <c r="C40" s="19">
        <v>2000</v>
      </c>
      <c r="D40" s="19">
        <v>457</v>
      </c>
    </row>
    <row r="41" spans="1:4" ht="12.75">
      <c r="A41" s="19" t="s">
        <v>10</v>
      </c>
      <c r="B41" s="19" t="s">
        <v>25</v>
      </c>
      <c r="C41" s="19">
        <v>2005</v>
      </c>
      <c r="D41" s="19">
        <v>526</v>
      </c>
    </row>
    <row r="42" spans="1:4" ht="12.75">
      <c r="A42" s="19" t="s">
        <v>10</v>
      </c>
      <c r="B42" s="19" t="s">
        <v>25</v>
      </c>
      <c r="C42" s="19">
        <v>2010</v>
      </c>
      <c r="D42" s="19">
        <v>582</v>
      </c>
    </row>
    <row r="43" spans="1:4" ht="12.75">
      <c r="A43" s="19" t="s">
        <v>10</v>
      </c>
      <c r="B43" s="19" t="s">
        <v>25</v>
      </c>
      <c r="C43" s="19">
        <v>2015</v>
      </c>
      <c r="D43" s="19">
        <v>615</v>
      </c>
    </row>
    <row r="44" spans="1:4" ht="12.75">
      <c r="A44" s="19" t="s">
        <v>11</v>
      </c>
      <c r="B44" s="19" t="s">
        <v>25</v>
      </c>
      <c r="C44" s="19">
        <v>2000</v>
      </c>
      <c r="D44" s="19">
        <v>3221</v>
      </c>
    </row>
    <row r="45" spans="1:4" ht="12.75">
      <c r="A45" s="19" t="s">
        <v>11</v>
      </c>
      <c r="B45" s="19" t="s">
        <v>25</v>
      </c>
      <c r="C45" s="19">
        <v>2005</v>
      </c>
      <c r="D45" s="19">
        <v>3378</v>
      </c>
    </row>
    <row r="46" spans="1:4" ht="12.75">
      <c r="A46" s="19" t="s">
        <v>11</v>
      </c>
      <c r="B46" s="19" t="s">
        <v>25</v>
      </c>
      <c r="C46" s="19">
        <v>2010</v>
      </c>
      <c r="D46" s="19">
        <v>3486</v>
      </c>
    </row>
    <row r="47" spans="1:4" ht="12.75">
      <c r="A47" s="19" t="s">
        <v>11</v>
      </c>
      <c r="B47" s="19" t="s">
        <v>25</v>
      </c>
      <c r="C47" s="19">
        <v>2015</v>
      </c>
      <c r="D47" s="19">
        <v>3493</v>
      </c>
    </row>
    <row r="48" spans="1:4" ht="12.75">
      <c r="A48" s="19" t="s">
        <v>26</v>
      </c>
      <c r="B48" s="19" t="s">
        <v>25</v>
      </c>
      <c r="C48" s="19">
        <v>2000</v>
      </c>
      <c r="D48" s="19">
        <v>587</v>
      </c>
    </row>
    <row r="49" spans="1:4" ht="12.75">
      <c r="A49" s="19" t="s">
        <v>26</v>
      </c>
      <c r="B49" s="19" t="s">
        <v>25</v>
      </c>
      <c r="C49" s="19">
        <v>2005</v>
      </c>
      <c r="D49" s="19">
        <v>646</v>
      </c>
    </row>
    <row r="50" spans="1:4" ht="12.75">
      <c r="A50" s="19" t="s">
        <v>26</v>
      </c>
      <c r="B50" s="19" t="s">
        <v>25</v>
      </c>
      <c r="C50" s="19">
        <v>2010</v>
      </c>
      <c r="D50" s="19">
        <v>698</v>
      </c>
    </row>
    <row r="51" spans="1:4" ht="12.75">
      <c r="A51" s="19" t="s">
        <v>26</v>
      </c>
      <c r="B51" s="19" t="s">
        <v>25</v>
      </c>
      <c r="C51" s="19">
        <v>2015</v>
      </c>
      <c r="D51" s="19">
        <v>741</v>
      </c>
    </row>
    <row r="52" spans="1:4" ht="12.75">
      <c r="A52" s="19" t="s">
        <v>12</v>
      </c>
      <c r="B52" s="19" t="s">
        <v>25</v>
      </c>
      <c r="C52" s="19">
        <v>2000</v>
      </c>
      <c r="D52" s="19">
        <v>319</v>
      </c>
    </row>
    <row r="53" spans="1:4" ht="12.75">
      <c r="A53" s="19" t="s">
        <v>12</v>
      </c>
      <c r="B53" s="19" t="s">
        <v>25</v>
      </c>
      <c r="C53" s="19">
        <v>2005</v>
      </c>
      <c r="D53" s="19">
        <v>301</v>
      </c>
    </row>
    <row r="54" spans="1:4" ht="12.75">
      <c r="A54" s="19" t="s">
        <v>12</v>
      </c>
      <c r="B54" s="19" t="s">
        <v>25</v>
      </c>
      <c r="C54" s="19">
        <v>2010</v>
      </c>
      <c r="D54" s="19">
        <v>325</v>
      </c>
    </row>
    <row r="55" spans="1:4" ht="12.75">
      <c r="A55" s="19" t="s">
        <v>12</v>
      </c>
      <c r="B55" s="19" t="s">
        <v>25</v>
      </c>
      <c r="C55" s="19">
        <v>2015</v>
      </c>
      <c r="D55" s="19">
        <v>345</v>
      </c>
    </row>
    <row r="56" spans="1:4" ht="12.75">
      <c r="A56" s="19" t="s">
        <v>14</v>
      </c>
      <c r="B56" s="19" t="s">
        <v>25</v>
      </c>
      <c r="C56" s="19">
        <v>2000</v>
      </c>
      <c r="D56" s="19">
        <v>59</v>
      </c>
    </row>
    <row r="57" spans="1:4" ht="12.75">
      <c r="A57" s="19" t="s">
        <v>14</v>
      </c>
      <c r="B57" s="19" t="s">
        <v>25</v>
      </c>
      <c r="C57" s="19">
        <v>2005</v>
      </c>
      <c r="D57" s="19">
        <v>67</v>
      </c>
    </row>
    <row r="58" spans="1:4" ht="12.75">
      <c r="A58" s="19" t="s">
        <v>14</v>
      </c>
      <c r="B58" s="19" t="s">
        <v>25</v>
      </c>
      <c r="C58" s="19">
        <v>2010</v>
      </c>
      <c r="D58" s="19">
        <v>73</v>
      </c>
    </row>
    <row r="59" spans="1:4" ht="12.75">
      <c r="A59" s="19" t="s">
        <v>14</v>
      </c>
      <c r="B59" s="19" t="s">
        <v>25</v>
      </c>
      <c r="C59" s="19">
        <v>2015</v>
      </c>
      <c r="D59" s="19">
        <v>71</v>
      </c>
    </row>
    <row r="60" spans="1:4" ht="12.75">
      <c r="A60" s="19" t="s">
        <v>15</v>
      </c>
      <c r="B60" s="19" t="s">
        <v>25</v>
      </c>
      <c r="C60" s="19">
        <v>2000</v>
      </c>
      <c r="D60" s="19">
        <v>3097</v>
      </c>
    </row>
    <row r="61" spans="1:4" ht="12.75">
      <c r="A61" s="19" t="s">
        <v>15</v>
      </c>
      <c r="B61" s="19" t="s">
        <v>25</v>
      </c>
      <c r="C61" s="19">
        <v>2005</v>
      </c>
      <c r="D61" s="19">
        <v>3200</v>
      </c>
    </row>
    <row r="62" spans="1:4" ht="12.75">
      <c r="A62" s="19" t="s">
        <v>15</v>
      </c>
      <c r="B62" s="19" t="s">
        <v>25</v>
      </c>
      <c r="C62" s="19">
        <v>2010</v>
      </c>
      <c r="D62" s="19">
        <v>3346</v>
      </c>
    </row>
    <row r="63" spans="1:4" ht="12.75">
      <c r="A63" s="19" t="s">
        <v>15</v>
      </c>
      <c r="B63" s="19" t="s">
        <v>25</v>
      </c>
      <c r="C63" s="19">
        <v>2015</v>
      </c>
      <c r="D63" s="19">
        <v>3477</v>
      </c>
    </row>
    <row r="64" spans="1:4" ht="12.75">
      <c r="A64" s="19" t="s">
        <v>16</v>
      </c>
      <c r="B64" s="19" t="s">
        <v>25</v>
      </c>
      <c r="C64" s="19">
        <v>2000</v>
      </c>
      <c r="D64" s="19">
        <v>5001</v>
      </c>
    </row>
    <row r="65" spans="1:4" ht="12.75">
      <c r="A65" s="19" t="s">
        <v>16</v>
      </c>
      <c r="B65" s="19" t="s">
        <v>25</v>
      </c>
      <c r="C65" s="19">
        <v>2005</v>
      </c>
      <c r="D65" s="19">
        <v>5216</v>
      </c>
    </row>
    <row r="66" spans="1:4" ht="12.75">
      <c r="A66" s="19" t="s">
        <v>16</v>
      </c>
      <c r="B66" s="19" t="s">
        <v>25</v>
      </c>
      <c r="C66" s="19">
        <v>2010</v>
      </c>
      <c r="D66" s="19">
        <v>5367</v>
      </c>
    </row>
    <row r="67" spans="1:4" ht="12.75">
      <c r="A67" s="19" t="s">
        <v>16</v>
      </c>
      <c r="B67" s="19" t="s">
        <v>25</v>
      </c>
      <c r="C67" s="19">
        <v>2015</v>
      </c>
      <c r="D67" s="19">
        <v>5415</v>
      </c>
    </row>
    <row r="68" spans="1:4" ht="12.75">
      <c r="A68" s="19" t="s">
        <v>17</v>
      </c>
      <c r="B68" s="19" t="s">
        <v>25</v>
      </c>
      <c r="C68" s="19">
        <v>2000</v>
      </c>
      <c r="D68" s="19">
        <v>2333</v>
      </c>
    </row>
    <row r="69" spans="1:4" ht="12.75">
      <c r="A69" s="19" t="s">
        <v>17</v>
      </c>
      <c r="B69" s="19" t="s">
        <v>25</v>
      </c>
      <c r="C69" s="19">
        <v>2005</v>
      </c>
      <c r="D69" s="19">
        <v>2526</v>
      </c>
    </row>
    <row r="70" spans="1:4" ht="12.75">
      <c r="A70" s="19" t="s">
        <v>17</v>
      </c>
      <c r="B70" s="19" t="s">
        <v>25</v>
      </c>
      <c r="C70" s="19">
        <v>2010</v>
      </c>
      <c r="D70" s="19">
        <v>2680</v>
      </c>
    </row>
    <row r="71" spans="1:4" ht="12.75">
      <c r="A71" s="19" t="s">
        <v>17</v>
      </c>
      <c r="B71" s="19" t="s">
        <v>25</v>
      </c>
      <c r="C71" s="19">
        <v>2015</v>
      </c>
      <c r="D71" s="19">
        <v>2715</v>
      </c>
    </row>
    <row r="72" spans="1:4" ht="12.75">
      <c r="A72" s="19" t="s">
        <v>18</v>
      </c>
      <c r="B72" s="19" t="s">
        <v>25</v>
      </c>
      <c r="C72" s="19">
        <v>2000</v>
      </c>
      <c r="D72" s="19">
        <v>838</v>
      </c>
    </row>
    <row r="73" spans="1:4" ht="12.75">
      <c r="A73" s="19" t="s">
        <v>18</v>
      </c>
      <c r="B73" s="19" t="s">
        <v>25</v>
      </c>
      <c r="C73" s="19">
        <v>2005</v>
      </c>
      <c r="D73" s="19">
        <v>806</v>
      </c>
    </row>
    <row r="74" spans="1:4" ht="12.75">
      <c r="A74" s="19" t="s">
        <v>18</v>
      </c>
      <c r="B74" s="19" t="s">
        <v>25</v>
      </c>
      <c r="C74" s="19">
        <v>2010</v>
      </c>
      <c r="D74" s="19">
        <v>824</v>
      </c>
    </row>
    <row r="75" spans="1:4" ht="12.75">
      <c r="A75" s="19" t="s">
        <v>18</v>
      </c>
      <c r="B75" s="19" t="s">
        <v>25</v>
      </c>
      <c r="C75" s="19">
        <v>2015</v>
      </c>
      <c r="D75" s="19">
        <v>811</v>
      </c>
    </row>
    <row r="76" spans="1:4" ht="12.75">
      <c r="A76" s="19" t="s">
        <v>19</v>
      </c>
      <c r="B76" s="19" t="s">
        <v>25</v>
      </c>
      <c r="C76" s="19">
        <v>2000</v>
      </c>
      <c r="D76" s="19">
        <v>270</v>
      </c>
    </row>
    <row r="77" spans="1:4" ht="12.75">
      <c r="A77" s="19" t="s">
        <v>19</v>
      </c>
      <c r="B77" s="19" t="s">
        <v>25</v>
      </c>
      <c r="C77" s="19">
        <v>2005</v>
      </c>
      <c r="D77" s="19">
        <v>337</v>
      </c>
    </row>
    <row r="78" spans="1:4" ht="12.75">
      <c r="A78" s="19" t="s">
        <v>19</v>
      </c>
      <c r="B78" s="19" t="s">
        <v>25</v>
      </c>
      <c r="C78" s="19">
        <v>2010</v>
      </c>
      <c r="D78" s="19">
        <v>369</v>
      </c>
    </row>
    <row r="79" spans="1:4" ht="12.75">
      <c r="A79" s="19" t="s">
        <v>19</v>
      </c>
      <c r="B79" s="19" t="s">
        <v>25</v>
      </c>
      <c r="C79" s="19">
        <v>2015</v>
      </c>
      <c r="D79" s="19">
        <v>389</v>
      </c>
    </row>
    <row r="80" spans="1:4" ht="12.75">
      <c r="A80" s="19" t="s">
        <v>27</v>
      </c>
      <c r="B80" s="19" t="s">
        <v>25</v>
      </c>
      <c r="C80" s="19">
        <v>2000</v>
      </c>
      <c r="D80" s="19">
        <v>3287</v>
      </c>
    </row>
    <row r="81" spans="1:4" ht="12.75">
      <c r="A81" s="19" t="s">
        <v>27</v>
      </c>
      <c r="B81" s="19" t="s">
        <v>25</v>
      </c>
      <c r="C81" s="19">
        <v>2005</v>
      </c>
      <c r="D81" s="19">
        <v>3668</v>
      </c>
    </row>
    <row r="82" spans="1:4" ht="12.75">
      <c r="A82" s="19" t="s">
        <v>27</v>
      </c>
      <c r="B82" s="19" t="s">
        <v>25</v>
      </c>
      <c r="C82" s="19">
        <v>2010</v>
      </c>
      <c r="D82" s="19">
        <v>4176</v>
      </c>
    </row>
    <row r="83" spans="1:4" ht="12.75">
      <c r="A83" s="19" t="s">
        <v>27</v>
      </c>
      <c r="B83" s="19" t="s">
        <v>25</v>
      </c>
      <c r="C83" s="19">
        <v>2015</v>
      </c>
      <c r="D83" s="19">
        <v>4654</v>
      </c>
    </row>
    <row r="85" ht="12.75">
      <c r="A85" s="37" t="s">
        <v>28</v>
      </c>
    </row>
  </sheetData>
  <mergeCells count="2">
    <mergeCell ref="J2:K2"/>
    <mergeCell ref="F2:I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 van Dongen</cp:lastModifiedBy>
  <dcterms:created xsi:type="dcterms:W3CDTF">2006-08-15T19:20:36Z</dcterms:created>
  <dcterms:modified xsi:type="dcterms:W3CDTF">2008-02-05T13:49:51Z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-1424552120</vt:i4>
  </property>
  <property fmtid="{D5CDD505-2E9C-101B-9397-08002B2CF9AE}" pid="3" name="_EmailSubject">
    <vt:lpwstr>excel sheet WP46 on website?</vt:lpwstr>
  </property>
  <property fmtid="{D5CDD505-2E9C-101B-9397-08002B2CF9AE}" pid="4" name="_AuthorEmail">
    <vt:lpwstr>Jan.vanDongen@bvleerf.nl</vt:lpwstr>
  </property>
  <property fmtid="{D5CDD505-2E9C-101B-9397-08002B2CF9AE}" pid="5" name="_AuthorEmailDisplayName">
    <vt:lpwstr>Dongen, Jan van</vt:lpwstr>
  </property>
</Properties>
</file>